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190" activeTab="0"/>
  </bookViews>
  <sheets>
    <sheet name="男子 " sheetId="1" r:id="rId1"/>
    <sheet name="女子" sheetId="2" r:id="rId2"/>
  </sheets>
  <definedNames>
    <definedName name="_xlnm.Print_Area" localSheetId="1">'女子'!$A$1:$T$41</definedName>
    <definedName name="_xlnm.Print_Area" localSheetId="0">'男子 '!$A$1:$Q$75</definedName>
  </definedNames>
  <calcPr fullCalcOnLoad="1"/>
</workbook>
</file>

<file path=xl/sharedStrings.xml><?xml version="1.0" encoding="utf-8"?>
<sst xmlns="http://schemas.openxmlformats.org/spreadsheetml/2006/main" count="177" uniqueCount="101">
  <si>
    <t>NO.</t>
  </si>
  <si>
    <t>団体</t>
  </si>
  <si>
    <t>個人</t>
  </si>
  <si>
    <t>分</t>
  </si>
  <si>
    <t>秒</t>
  </si>
  <si>
    <t>PT</t>
  </si>
  <si>
    <t>個人</t>
  </si>
  <si>
    <t>penalty</t>
  </si>
  <si>
    <t>順位</t>
  </si>
  <si>
    <t>秒</t>
  </si>
  <si>
    <t>ｔｏｔａｌ</t>
  </si>
  <si>
    <t>個人</t>
  </si>
  <si>
    <t>best lap</t>
  </si>
  <si>
    <t>選  手  名</t>
  </si>
  <si>
    <t>大  学  名</t>
  </si>
  <si>
    <t>個  人</t>
  </si>
  <si>
    <t>団 体</t>
  </si>
  <si>
    <t xml:space="preserve">団体順位 </t>
  </si>
  <si>
    <t xml:space="preserve"> 個人順位</t>
  </si>
  <si>
    <t>女子の部</t>
  </si>
  <si>
    <t>分</t>
  </si>
  <si>
    <t>計算用セル</t>
  </si>
  <si>
    <t>一走目</t>
  </si>
  <si>
    <t>二走目</t>
  </si>
  <si>
    <t>男子の部</t>
  </si>
  <si>
    <t>一走目</t>
  </si>
  <si>
    <t>1走目秒</t>
  </si>
  <si>
    <t>2走目秒</t>
  </si>
  <si>
    <t>　　</t>
  </si>
  <si>
    <t>競技長</t>
  </si>
  <si>
    <t>審査委員長</t>
  </si>
  <si>
    <t>計時委員長</t>
  </si>
  <si>
    <t>千葉工業大学</t>
  </si>
  <si>
    <t>中央大学</t>
  </si>
  <si>
    <t>東京農業大学</t>
  </si>
  <si>
    <t>慶應義塾大学</t>
  </si>
  <si>
    <t>計時委員長　</t>
  </si>
  <si>
    <t>審査委員長　</t>
  </si>
  <si>
    <t>競技長　</t>
  </si>
  <si>
    <t>best lap</t>
  </si>
  <si>
    <t>bestlap</t>
  </si>
  <si>
    <t>ｔｏｔａｌ</t>
  </si>
  <si>
    <t>penalty</t>
  </si>
  <si>
    <t>PT</t>
  </si>
  <si>
    <t>PT</t>
  </si>
  <si>
    <t>NO.</t>
  </si>
  <si>
    <t>丸和オートランド那須</t>
  </si>
  <si>
    <t>東京理科大学</t>
  </si>
  <si>
    <t>立教大学</t>
  </si>
  <si>
    <t>東京大学</t>
  </si>
  <si>
    <t>青山学院大学</t>
  </si>
  <si>
    <t>早稲田大学</t>
  </si>
  <si>
    <t>立教大学</t>
  </si>
  <si>
    <t>聖心女子大学</t>
  </si>
  <si>
    <t>東京農業大学</t>
  </si>
  <si>
    <t>慶應義塾大学</t>
  </si>
  <si>
    <t>千葉工業大学</t>
  </si>
  <si>
    <t>中央大学</t>
  </si>
  <si>
    <t>金山　桃子</t>
  </si>
  <si>
    <t>田中　杏奈</t>
  </si>
  <si>
    <t>大山　晶子</t>
  </si>
  <si>
    <t>岡　莉沙子</t>
  </si>
  <si>
    <t>真殿　妃華李</t>
  </si>
  <si>
    <t>呉安　真耶子</t>
  </si>
  <si>
    <t>海谷　美里</t>
  </si>
  <si>
    <t>上村　静香</t>
  </si>
  <si>
    <t>早稲田大学</t>
  </si>
  <si>
    <t>大沼　すず音</t>
  </si>
  <si>
    <t>階藤　有彬</t>
  </si>
  <si>
    <t>増本　巧</t>
  </si>
  <si>
    <t>磯部　航介</t>
  </si>
  <si>
    <t>斎藤　勇真</t>
  </si>
  <si>
    <t>泉田　真志</t>
  </si>
  <si>
    <t>小野　徳馬</t>
  </si>
  <si>
    <t>高田　航希</t>
  </si>
  <si>
    <t>菰田　千也</t>
  </si>
  <si>
    <t>坂田　佳哉</t>
  </si>
  <si>
    <t>尾形　莉欧</t>
  </si>
  <si>
    <t>高橋　凛太郎</t>
  </si>
  <si>
    <t>渡邉　知成</t>
  </si>
  <si>
    <t>恩田　雅弘</t>
  </si>
  <si>
    <t>岩瀬　直也</t>
  </si>
  <si>
    <t>金森　圭太郎</t>
  </si>
  <si>
    <t>池田　卓彌</t>
  </si>
  <si>
    <t>柚木　泰寛</t>
  </si>
  <si>
    <t>内田　涼介</t>
  </si>
  <si>
    <t>千賀　真一郎</t>
  </si>
  <si>
    <t>岡山　優佑</t>
  </si>
  <si>
    <t>岡田　朋也</t>
  </si>
  <si>
    <t>長谷川　将吾</t>
  </si>
  <si>
    <t>木多　祐太</t>
  </si>
  <si>
    <t>山口　僚太</t>
  </si>
  <si>
    <t>神林　崇亮</t>
  </si>
  <si>
    <t>中野　龍太</t>
  </si>
  <si>
    <t>最上　佳樹</t>
  </si>
  <si>
    <t>2021年　6月　27日</t>
  </si>
  <si>
    <t>2021年度　全関東学生ダートトライアル選手権大会</t>
  </si>
  <si>
    <t>DNS</t>
  </si>
  <si>
    <t>DNF</t>
  </si>
  <si>
    <t>MC</t>
  </si>
  <si>
    <t>DNS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</si>
</sst>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21" xfId="0" applyFont="1" applyBorder="1" applyAlignment="1">
      <alignment horizontal="left"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0" fillId="0" borderId="18" xfId="6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distributed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49" fontId="0" fillId="35" borderId="26" xfId="0" applyNumberForma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12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35" borderId="30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35" borderId="15" xfId="0" applyFill="1" applyBorder="1" applyAlignment="1" applyProtection="1">
      <alignment horizontal="center"/>
      <protection locked="0"/>
    </xf>
    <xf numFmtId="49" fontId="0" fillId="35" borderId="12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35" borderId="24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5" borderId="23" xfId="0" applyFill="1" applyBorder="1" applyAlignment="1">
      <alignment horizontal="left"/>
    </xf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0" fontId="0" fillId="0" borderId="0" xfId="0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distributed"/>
    </xf>
    <xf numFmtId="0" fontId="0" fillId="35" borderId="18" xfId="0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 locked="0"/>
    </xf>
    <xf numFmtId="49" fontId="0" fillId="35" borderId="24" xfId="0" applyNumberFormat="1" applyFill="1" applyBorder="1" applyAlignment="1">
      <alignment horizontal="center"/>
    </xf>
    <xf numFmtId="0" fontId="0" fillId="35" borderId="31" xfId="0" applyFill="1" applyBorder="1" applyAlignment="1" applyProtection="1">
      <alignment horizontal="center"/>
      <protection locked="0"/>
    </xf>
    <xf numFmtId="0" fontId="8" fillId="35" borderId="31" xfId="0" applyFont="1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 quotePrefix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30" fillId="0" borderId="31" xfId="61" applyBorder="1" applyAlignment="1">
      <alignment vertical="center"/>
      <protection/>
    </xf>
    <xf numFmtId="0" fontId="0" fillId="0" borderId="31" xfId="0" applyBorder="1" applyAlignment="1">
      <alignment horizontal="distributed"/>
    </xf>
    <xf numFmtId="0" fontId="0" fillId="35" borderId="31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49" fontId="0" fillId="35" borderId="31" xfId="0" applyNumberFormat="1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 hidden="1"/>
    </xf>
    <xf numFmtId="0" fontId="0" fillId="35" borderId="31" xfId="0" applyFill="1" applyBorder="1" applyAlignment="1">
      <alignment horizontal="center"/>
    </xf>
    <xf numFmtId="49" fontId="0" fillId="35" borderId="31" xfId="0" applyNumberFormat="1" applyFill="1" applyBorder="1" applyAlignment="1">
      <alignment horizontal="center"/>
    </xf>
    <xf numFmtId="0" fontId="0" fillId="0" borderId="31" xfId="0" applyBorder="1" applyAlignment="1">
      <alignment horizontal="distributed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35" borderId="31" xfId="0" applyFont="1" applyFill="1" applyBorder="1" applyAlignment="1" applyProtection="1" quotePrefix="1">
      <alignment horizontal="center"/>
      <protection locked="0"/>
    </xf>
    <xf numFmtId="0" fontId="0" fillId="34" borderId="31" xfId="0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/>
      <protection/>
    </xf>
    <xf numFmtId="0" fontId="30" fillId="36" borderId="31" xfId="61" applyFill="1" applyBorder="1" applyAlignment="1">
      <alignment vertical="center"/>
      <protection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1" xfId="0" applyFill="1" applyBorder="1" applyAlignment="1">
      <alignment horizontal="distributed"/>
    </xf>
    <xf numFmtId="0" fontId="0" fillId="36" borderId="31" xfId="0" applyFill="1" applyBorder="1" applyAlignment="1" applyProtection="1">
      <alignment horizontal="center"/>
      <protection/>
    </xf>
    <xf numFmtId="0" fontId="0" fillId="36" borderId="31" xfId="0" applyNumberFormat="1" applyFill="1" applyBorder="1" applyAlignment="1" applyProtection="1">
      <alignment horizontal="center"/>
      <protection locked="0"/>
    </xf>
    <xf numFmtId="0" fontId="0" fillId="36" borderId="31" xfId="0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 quotePrefix="1">
      <alignment horizontal="center"/>
    </xf>
    <xf numFmtId="0" fontId="5" fillId="36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36" borderId="18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32" xfId="0" applyFont="1" applyFill="1" applyBorder="1" applyAlignment="1">
      <alignment/>
    </xf>
    <xf numFmtId="0" fontId="5" fillId="36" borderId="33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4" xfId="0" applyFont="1" applyFill="1" applyBorder="1" applyAlignment="1">
      <alignment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35" borderId="31" xfId="0" applyFont="1" applyFill="1" applyBorder="1" applyAlignment="1" applyProtection="1">
      <alignment horizontal="center"/>
      <protection locked="0"/>
    </xf>
    <xf numFmtId="0" fontId="5" fillId="35" borderId="31" xfId="0" applyFont="1" applyFill="1" applyBorder="1" applyAlignment="1" applyProtection="1" quotePrefix="1">
      <alignment horizontal="center"/>
      <protection locked="0"/>
    </xf>
    <xf numFmtId="0" fontId="49" fillId="0" borderId="31" xfId="61" applyFont="1" applyBorder="1" applyAlignment="1">
      <alignment horizontal="center" vertical="center"/>
      <protection/>
    </xf>
    <xf numFmtId="0" fontId="49" fillId="0" borderId="31" xfId="61" applyFont="1" applyBorder="1" applyAlignment="1">
      <alignment horizontal="distributed" vertic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49" fillId="36" borderId="31" xfId="61" applyFont="1" applyFill="1" applyBorder="1" applyAlignment="1">
      <alignment horizontal="center" vertical="center"/>
      <protection/>
    </xf>
    <xf numFmtId="0" fontId="49" fillId="36" borderId="31" xfId="61" applyFont="1" applyFill="1" applyBorder="1" applyAlignment="1">
      <alignment horizontal="distributed" vertical="center"/>
      <protection/>
    </xf>
    <xf numFmtId="0" fontId="5" fillId="36" borderId="31" xfId="0" applyFont="1" applyFill="1" applyBorder="1" applyAlignment="1" applyProtection="1">
      <alignment horizontal="center"/>
      <protection/>
    </xf>
    <xf numFmtId="0" fontId="5" fillId="36" borderId="31" xfId="0" applyFont="1" applyFill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/>
    </xf>
    <xf numFmtId="0" fontId="5" fillId="0" borderId="31" xfId="0" applyFont="1" applyBorder="1" applyAlignment="1">
      <alignment horizontal="distributed" vertical="center"/>
    </xf>
    <xf numFmtId="0" fontId="49" fillId="36" borderId="31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distributed" vertical="center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distributed"/>
    </xf>
    <xf numFmtId="0" fontId="0" fillId="35" borderId="10" xfId="0" applyFill="1" applyBorder="1" applyAlignment="1" applyProtection="1">
      <alignment horizontal="center"/>
      <protection/>
    </xf>
    <xf numFmtId="0" fontId="0" fillId="35" borderId="40" xfId="0" applyFill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33" borderId="4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6" borderId="42" xfId="0" applyFill="1" applyBorder="1" applyAlignment="1" applyProtection="1">
      <alignment horizontal="center"/>
      <protection locked="0"/>
    </xf>
    <xf numFmtId="0" fontId="0" fillId="36" borderId="41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31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 quotePrefix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34" borderId="31" xfId="0" applyFill="1" applyBorder="1" applyAlignment="1" applyProtection="1" quotePrefix="1">
      <alignment horizontal="center"/>
      <protection locked="0"/>
    </xf>
    <xf numFmtId="0" fontId="0" fillId="36" borderId="3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4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 horizontal="center"/>
    </xf>
    <xf numFmtId="0" fontId="5" fillId="33" borderId="45" xfId="0" applyFont="1" applyFill="1" applyBorder="1" applyAlignment="1" applyProtection="1">
      <alignment horizontal="center"/>
      <protection locked="0"/>
    </xf>
    <xf numFmtId="0" fontId="5" fillId="33" borderId="44" xfId="0" applyFont="1" applyFill="1" applyBorder="1" applyAlignment="1" applyProtection="1">
      <alignment horizontal="center"/>
      <protection locked="0"/>
    </xf>
    <xf numFmtId="0" fontId="5" fillId="35" borderId="31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4" borderId="31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4" borderId="31" xfId="0" applyFont="1" applyFill="1" applyBorder="1" applyAlignment="1" applyProtection="1" quotePrefix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35" borderId="31" xfId="0" applyFont="1" applyFill="1" applyBorder="1" applyAlignment="1" applyProtection="1" quotePrefix="1">
      <alignment horizontal="center"/>
      <protection locked="0"/>
    </xf>
    <xf numFmtId="0" fontId="5" fillId="35" borderId="3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tabSelected="1" view="pageBreakPreview" zoomScaleSheetLayoutView="100" workbookViewId="0" topLeftCell="C16">
      <selection activeCell="G30" sqref="G30"/>
    </sheetView>
  </sheetViews>
  <sheetFormatPr defaultColWidth="9.00390625" defaultRowHeight="13.5"/>
  <cols>
    <col min="1" max="1" width="3.375" style="0" customWidth="1"/>
    <col min="2" max="2" width="17.875" style="53" customWidth="1"/>
    <col min="3" max="3" width="4.875" style="0" customWidth="1"/>
    <col min="4" max="4" width="14.50390625" style="52" customWidth="1"/>
    <col min="5" max="5" width="4.875" style="0" customWidth="1"/>
    <col min="6" max="6" width="4.875" style="52" customWidth="1"/>
    <col min="7" max="7" width="11.875" style="0" customWidth="1"/>
    <col min="8" max="8" width="3.875" style="0" customWidth="1"/>
    <col min="9" max="9" width="6.875" style="0" customWidth="1"/>
    <col min="10" max="10" width="3.375" style="52" customWidth="1"/>
    <col min="11" max="11" width="13.125" style="0" customWidth="1"/>
    <col min="12" max="12" width="3.625" style="0" customWidth="1"/>
    <col min="13" max="13" width="7.125" style="0" customWidth="1"/>
    <col min="14" max="14" width="3.875" style="0" customWidth="1"/>
    <col min="15" max="15" width="9.50390625" style="0" customWidth="1"/>
    <col min="16" max="16" width="4.125" style="0" customWidth="1"/>
    <col min="17" max="17" width="12.125" style="0" customWidth="1"/>
    <col min="18" max="18" width="16.00390625" style="0" customWidth="1"/>
    <col min="19" max="19" width="11.375" style="0" customWidth="1"/>
    <col min="20" max="20" width="7.875" style="0" customWidth="1"/>
    <col min="21" max="21" width="3.625" style="0" customWidth="1"/>
    <col min="22" max="22" width="6.625" style="0" customWidth="1"/>
    <col min="23" max="23" width="19.50390625" style="0" customWidth="1"/>
    <col min="24" max="24" width="11.625" style="0" customWidth="1"/>
    <col min="25" max="25" width="20.00390625" style="0" customWidth="1"/>
    <col min="26" max="26" width="6.375" style="0" customWidth="1"/>
    <col min="27" max="28" width="11.125" style="0" customWidth="1"/>
    <col min="29" max="29" width="7.125" style="0" customWidth="1"/>
    <col min="32" max="32" width="19.50390625" style="51" customWidth="1"/>
  </cols>
  <sheetData>
    <row r="1" spans="1:20" ht="16.5" customHeight="1">
      <c r="A1" s="237" t="s">
        <v>96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34"/>
      <c r="O1" s="134"/>
      <c r="P1" s="134"/>
      <c r="Q1" s="134"/>
      <c r="R1" s="133"/>
      <c r="S1" s="133"/>
      <c r="T1" s="133"/>
    </row>
    <row r="2" spans="1:24" ht="15" customHeight="1">
      <c r="A2" s="132"/>
      <c r="B2" s="128"/>
      <c r="C2" s="126"/>
      <c r="D2" s="122"/>
      <c r="E2" s="126"/>
      <c r="F2" s="122"/>
      <c r="G2" s="126"/>
      <c r="H2" s="126"/>
      <c r="I2" s="226" t="s">
        <v>95</v>
      </c>
      <c r="J2" s="226"/>
      <c r="K2" s="226"/>
      <c r="L2" s="226"/>
      <c r="M2" s="226"/>
      <c r="N2" s="124"/>
      <c r="O2" s="124"/>
      <c r="P2" s="124"/>
      <c r="Q2" s="124"/>
      <c r="R2" s="226" t="s">
        <v>21</v>
      </c>
      <c r="S2" s="226"/>
      <c r="T2" s="226"/>
      <c r="U2" s="226"/>
      <c r="V2" s="226"/>
      <c r="W2" s="226"/>
      <c r="X2" s="226"/>
    </row>
    <row r="3" spans="1:24" ht="15" customHeight="1">
      <c r="A3" s="122"/>
      <c r="B3" s="129"/>
      <c r="C3" s="126"/>
      <c r="D3" s="122"/>
      <c r="E3" s="126"/>
      <c r="F3" s="122"/>
      <c r="G3" s="126"/>
      <c r="H3" s="126"/>
      <c r="I3" s="225" t="s">
        <v>46</v>
      </c>
      <c r="J3" s="226"/>
      <c r="K3" s="226"/>
      <c r="L3" s="226"/>
      <c r="M3" s="226"/>
      <c r="N3" s="127"/>
      <c r="O3" s="131"/>
      <c r="P3" s="131"/>
      <c r="Q3" s="131"/>
      <c r="R3" s="130"/>
      <c r="S3" s="130"/>
      <c r="T3" s="130"/>
      <c r="U3" s="130"/>
      <c r="V3" s="49"/>
      <c r="W3" s="49"/>
      <c r="X3" s="49"/>
    </row>
    <row r="4" spans="1:24" ht="13.5">
      <c r="A4" s="126"/>
      <c r="B4" s="129" t="s">
        <v>24</v>
      </c>
      <c r="C4" s="126"/>
      <c r="D4" s="122"/>
      <c r="E4" s="126"/>
      <c r="F4" s="122"/>
      <c r="G4" s="126"/>
      <c r="H4" s="126"/>
      <c r="I4" s="126"/>
      <c r="J4" s="122"/>
      <c r="K4" s="126"/>
      <c r="L4" s="126"/>
      <c r="M4" s="126"/>
      <c r="N4" s="127"/>
      <c r="O4" s="126"/>
      <c r="P4" s="126"/>
      <c r="Q4" s="126"/>
      <c r="V4" s="58"/>
      <c r="W4" s="58"/>
      <c r="X4" s="58"/>
    </row>
    <row r="5" spans="1:17" ht="12.75">
      <c r="A5" s="126"/>
      <c r="B5" s="128"/>
      <c r="C5" s="126"/>
      <c r="D5" s="122"/>
      <c r="E5" s="126"/>
      <c r="F5" s="122"/>
      <c r="G5" s="126"/>
      <c r="H5" s="126"/>
      <c r="I5" s="126"/>
      <c r="J5" s="122"/>
      <c r="K5" s="126"/>
      <c r="L5" s="126"/>
      <c r="M5" s="126"/>
      <c r="N5" s="127"/>
      <c r="O5" s="126"/>
      <c r="P5" s="126"/>
      <c r="Q5" s="126"/>
    </row>
    <row r="6" spans="1:17" ht="14.25" customHeight="1">
      <c r="A6" s="127"/>
      <c r="B6" s="128"/>
      <c r="C6" s="126"/>
      <c r="D6" s="114"/>
      <c r="E6" s="127"/>
      <c r="F6" s="122"/>
      <c r="G6" s="127"/>
      <c r="H6" s="127"/>
      <c r="I6" s="127"/>
      <c r="J6" s="114"/>
      <c r="K6" s="126"/>
      <c r="L6" s="126"/>
      <c r="M6" s="126"/>
      <c r="N6" s="127"/>
      <c r="O6" s="126"/>
      <c r="P6" s="126"/>
      <c r="Q6" s="126"/>
    </row>
    <row r="7" spans="1:17" ht="12.75">
      <c r="A7" s="207"/>
      <c r="B7" s="238" t="s">
        <v>18</v>
      </c>
      <c r="C7" s="238"/>
      <c r="D7" s="206"/>
      <c r="E7" s="208"/>
      <c r="F7" s="208"/>
      <c r="G7" s="208"/>
      <c r="H7" s="208"/>
      <c r="I7" s="208"/>
      <c r="J7" s="207"/>
      <c r="K7" s="236" t="s">
        <v>17</v>
      </c>
      <c r="L7" s="236"/>
      <c r="M7" s="236"/>
      <c r="N7" s="125"/>
      <c r="O7" s="125"/>
      <c r="P7" s="125"/>
      <c r="Q7" s="122"/>
    </row>
    <row r="8" spans="1:32" ht="12.75">
      <c r="A8" s="159">
        <v>1</v>
      </c>
      <c r="B8" s="160" t="str">
        <f aca="true" t="shared" si="0" ref="B8:B13">VLOOKUP(A8,Y17:AB43,3,FALSE)</f>
        <v>最上　佳樹</v>
      </c>
      <c r="C8" s="160"/>
      <c r="D8" s="232" t="str">
        <f aca="true" t="shared" si="1" ref="D8:D13">IF(A8="","",VLOOKUP($B8,$AA$17:$AB$43,2,FALSE))</f>
        <v>早稲田大学</v>
      </c>
      <c r="E8" s="232"/>
      <c r="F8" s="159">
        <f aca="true" t="shared" si="2" ref="F8:F13">IF(A8="","",VLOOKUP($B8,$AA$17:$AD$61,3,FALSE))</f>
        <v>1</v>
      </c>
      <c r="G8" s="159">
        <f aca="true" t="shared" si="3" ref="G8:G13">IF(A8="","",VLOOKUP($B8,$AA$17:$AD$61,4,FALSE))</f>
        <v>19.281000000000006</v>
      </c>
      <c r="H8" s="223"/>
      <c r="I8" s="224"/>
      <c r="J8" s="159">
        <f>IF(ISERROR(SMALL($X$17:$X$52,1))=TRUE,"",SMALL($X$17:$X$61,1))</f>
        <v>1.025</v>
      </c>
      <c r="K8" s="232" t="str">
        <f>IF(J8="","",VLOOKUP(1,$Z$17:$AB$61,3,FALSE))</f>
        <v>早稲田大学</v>
      </c>
      <c r="L8" s="232"/>
      <c r="M8" s="232"/>
      <c r="N8" s="246"/>
      <c r="O8" s="226"/>
      <c r="AD8" s="51"/>
      <c r="AF8"/>
    </row>
    <row r="9" spans="1:32" ht="12.75">
      <c r="A9" s="159">
        <v>2</v>
      </c>
      <c r="B9" s="160" t="str">
        <f t="shared" si="0"/>
        <v>坂田　佳哉</v>
      </c>
      <c r="C9" s="160"/>
      <c r="D9" s="232" t="str">
        <f t="shared" si="1"/>
        <v>慶應義塾大学</v>
      </c>
      <c r="E9" s="232"/>
      <c r="F9" s="159">
        <f t="shared" si="2"/>
        <v>1</v>
      </c>
      <c r="G9" s="159">
        <f t="shared" si="3"/>
        <v>21.778999999999996</v>
      </c>
      <c r="H9" s="223">
        <f>(F9*60+G9)-($F$8*60+$G$8)</f>
        <v>2.4979999999999905</v>
      </c>
      <c r="I9" s="224"/>
      <c r="J9" s="159">
        <f>IF(ISERROR(SMALL($X$17:$X$61,2))=TRUE,"",SMALL($X$17:$X$61,2))</f>
        <v>2.007</v>
      </c>
      <c r="K9" s="232" t="str">
        <f>IF(J9="","",VLOOKUP(2,$Z$17:$AB$61,3,FALSE))</f>
        <v>慶應義塾大学</v>
      </c>
      <c r="L9" s="232"/>
      <c r="M9" s="232"/>
      <c r="N9" s="246"/>
      <c r="O9" s="226"/>
      <c r="AD9" s="51"/>
      <c r="AF9"/>
    </row>
    <row r="10" spans="1:32" ht="12.75">
      <c r="A10" s="159">
        <v>3</v>
      </c>
      <c r="B10" s="160" t="str">
        <f t="shared" si="0"/>
        <v>尾形　莉欧</v>
      </c>
      <c r="C10" s="160"/>
      <c r="D10" s="232" t="str">
        <f t="shared" si="1"/>
        <v>中央大学</v>
      </c>
      <c r="E10" s="232"/>
      <c r="F10" s="159">
        <f t="shared" si="2"/>
        <v>1</v>
      </c>
      <c r="G10" s="159">
        <f t="shared" si="3"/>
        <v>22.02199999999999</v>
      </c>
      <c r="H10" s="223">
        <f>(F10*60+G10)-($F$8*60+$G$8)</f>
        <v>2.7409999999999854</v>
      </c>
      <c r="I10" s="224"/>
      <c r="J10" s="159">
        <f>IF(ISERROR(SMALL($X$17:$X$61,3))=TRUE,"",SMALL($X$17:$X$61,3))</f>
        <v>3.01</v>
      </c>
      <c r="K10" s="232" t="str">
        <f>IF(J10="","",VLOOKUP(3,$Z$17:$AB$61,3,FALSE))</f>
        <v>中央大学</v>
      </c>
      <c r="L10" s="232"/>
      <c r="M10" s="232"/>
      <c r="N10" s="246"/>
      <c r="O10" s="226"/>
      <c r="AD10" s="51"/>
      <c r="AF10"/>
    </row>
    <row r="11" spans="1:32" ht="12.75">
      <c r="A11" s="159">
        <v>4</v>
      </c>
      <c r="B11" s="160" t="str">
        <f t="shared" si="0"/>
        <v>長谷川　将吾</v>
      </c>
      <c r="C11" s="160"/>
      <c r="D11" s="232" t="str">
        <f t="shared" si="1"/>
        <v>青山学院大学</v>
      </c>
      <c r="E11" s="232"/>
      <c r="F11" s="159">
        <f t="shared" si="2"/>
        <v>1</v>
      </c>
      <c r="G11" s="159">
        <f t="shared" si="3"/>
        <v>23.025000000000006</v>
      </c>
      <c r="H11" s="223">
        <f>(F11*60+G11)-($F$8*60+$G$8)</f>
        <v>3.7439999999999998</v>
      </c>
      <c r="I11" s="224"/>
      <c r="J11" s="159">
        <f>IF(ISERROR(SMALL($X$17:$X$61,4))=TRUE,"",SMALL($X$17:$X$61,4))</f>
        <v>4.022</v>
      </c>
      <c r="K11" s="232" t="str">
        <f>IF(J11="","",VLOOKUP(4,$Z$17:$AB$61,3,FALSE))</f>
        <v>青山学院大学</v>
      </c>
      <c r="L11" s="232"/>
      <c r="M11" s="232"/>
      <c r="N11" s="246"/>
      <c r="O11" s="226"/>
      <c r="AD11" s="51"/>
      <c r="AF11"/>
    </row>
    <row r="12" spans="1:32" ht="12.75">
      <c r="A12" s="159">
        <v>5</v>
      </c>
      <c r="B12" s="160" t="str">
        <f t="shared" si="0"/>
        <v>神林　崇亮</v>
      </c>
      <c r="C12" s="160"/>
      <c r="D12" s="232" t="str">
        <f t="shared" si="1"/>
        <v>早稲田大学</v>
      </c>
      <c r="E12" s="232"/>
      <c r="F12" s="159">
        <f t="shared" si="2"/>
        <v>1</v>
      </c>
      <c r="G12" s="159">
        <f t="shared" si="3"/>
        <v>23.049000000000007</v>
      </c>
      <c r="H12" s="223">
        <f>(F12*60+G12)-($F$8*60+$G$8)</f>
        <v>3.7680000000000007</v>
      </c>
      <c r="I12" s="224"/>
      <c r="J12" s="159">
        <f>IF(ISERROR(SMALL($X$17:$X$61,5))=TRUE,"",SMALL($X$17:$X$61,5))</f>
        <v>5.004</v>
      </c>
      <c r="K12" s="232" t="str">
        <f>IF(J12="","",VLOOKUP(5,$Z$17:$AB$61,3,FALSE))</f>
        <v>東京理科大学</v>
      </c>
      <c r="L12" s="232"/>
      <c r="M12" s="232"/>
      <c r="N12" s="247"/>
      <c r="O12" s="248"/>
      <c r="AD12" s="51"/>
      <c r="AF12"/>
    </row>
    <row r="13" spans="1:32" ht="12.75">
      <c r="A13" s="159">
        <v>6</v>
      </c>
      <c r="B13" s="160" t="str">
        <f t="shared" si="0"/>
        <v>山口　僚太</v>
      </c>
      <c r="C13" s="160"/>
      <c r="D13" s="232" t="str">
        <f t="shared" si="1"/>
        <v>青山学院大学</v>
      </c>
      <c r="E13" s="232"/>
      <c r="F13" s="159">
        <f t="shared" si="2"/>
        <v>1</v>
      </c>
      <c r="G13" s="159">
        <f t="shared" si="3"/>
        <v>23.337000000000003</v>
      </c>
      <c r="H13" s="223">
        <f>(F13*60+G13)-($F$8*60+$G$8)</f>
        <v>4.055999999999997</v>
      </c>
      <c r="I13" s="224"/>
      <c r="J13" s="159">
        <f>IF(ISERROR(SMALL($X$17:$X$61,6))=TRUE,"",SMALL($X$17:$X$61,6))</f>
        <v>6.013</v>
      </c>
      <c r="K13" s="232" t="str">
        <f>IF(J13="","",VLOOKUP(6,$Z$17:$AB$61,3,FALSE))</f>
        <v>立教大学</v>
      </c>
      <c r="L13" s="232"/>
      <c r="M13" s="232"/>
      <c r="N13" s="246"/>
      <c r="O13" s="226"/>
      <c r="U13" s="123" t="s">
        <v>3</v>
      </c>
      <c r="AD13" s="51"/>
      <c r="AF13"/>
    </row>
    <row r="14" spans="1:17" ht="13.5" thickBot="1">
      <c r="A14" s="114"/>
      <c r="B14" s="157"/>
      <c r="C14" s="114"/>
      <c r="D14" s="114"/>
      <c r="E14" s="114"/>
      <c r="F14" s="114"/>
      <c r="G14" s="114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32" ht="12.75">
      <c r="A15" s="143" t="s">
        <v>45</v>
      </c>
      <c r="B15" s="158" t="s">
        <v>14</v>
      </c>
      <c r="C15" s="143" t="s">
        <v>1</v>
      </c>
      <c r="D15" s="145" t="s">
        <v>13</v>
      </c>
      <c r="E15" s="143" t="s">
        <v>2</v>
      </c>
      <c r="F15" s="235" t="s">
        <v>22</v>
      </c>
      <c r="G15" s="235"/>
      <c r="H15" s="235"/>
      <c r="I15" s="143" t="s">
        <v>2</v>
      </c>
      <c r="J15" s="235" t="s">
        <v>23</v>
      </c>
      <c r="K15" s="235"/>
      <c r="L15" s="235"/>
      <c r="M15" s="145" t="s">
        <v>15</v>
      </c>
      <c r="N15" s="233" t="s">
        <v>15</v>
      </c>
      <c r="O15" s="234"/>
      <c r="P15" s="233" t="s">
        <v>16</v>
      </c>
      <c r="Q15" s="234"/>
      <c r="R15" s="49"/>
      <c r="S15" s="49"/>
      <c r="T15" s="49"/>
      <c r="Y15" s="121" t="s">
        <v>2</v>
      </c>
      <c r="Z15" s="121" t="s">
        <v>1</v>
      </c>
      <c r="AA15" s="60" t="s">
        <v>13</v>
      </c>
      <c r="AB15" s="60" t="s">
        <v>14</v>
      </c>
      <c r="AC15" s="228" t="s">
        <v>15</v>
      </c>
      <c r="AD15" s="229"/>
      <c r="AF15" s="57"/>
    </row>
    <row r="16" spans="1:32" ht="13.5" thickBot="1">
      <c r="A16" s="143"/>
      <c r="B16" s="144"/>
      <c r="C16" s="143" t="s">
        <v>8</v>
      </c>
      <c r="D16" s="143"/>
      <c r="E16" s="143" t="s">
        <v>8</v>
      </c>
      <c r="F16" s="143" t="s">
        <v>3</v>
      </c>
      <c r="G16" s="143" t="s">
        <v>4</v>
      </c>
      <c r="H16" s="143" t="s">
        <v>44</v>
      </c>
      <c r="I16" s="143" t="s">
        <v>42</v>
      </c>
      <c r="J16" s="143" t="s">
        <v>3</v>
      </c>
      <c r="K16" s="143" t="s">
        <v>4</v>
      </c>
      <c r="L16" s="143" t="s">
        <v>43</v>
      </c>
      <c r="M16" s="143" t="s">
        <v>42</v>
      </c>
      <c r="N16" s="233" t="s">
        <v>39</v>
      </c>
      <c r="O16" s="233"/>
      <c r="P16" s="234" t="s">
        <v>41</v>
      </c>
      <c r="Q16" s="234"/>
      <c r="R16" s="49" t="s">
        <v>26</v>
      </c>
      <c r="S16" s="49" t="s">
        <v>27</v>
      </c>
      <c r="T16" s="49" t="s">
        <v>40</v>
      </c>
      <c r="V16" s="138" t="s">
        <v>1</v>
      </c>
      <c r="Y16" s="119" t="s">
        <v>8</v>
      </c>
      <c r="Z16" s="119" t="s">
        <v>8</v>
      </c>
      <c r="AA16" s="119"/>
      <c r="AB16" s="119"/>
      <c r="AC16" s="230" t="s">
        <v>39</v>
      </c>
      <c r="AD16" s="231"/>
      <c r="AF16" s="56"/>
    </row>
    <row r="17" spans="1:32" ht="14.25" customHeight="1" thickBot="1">
      <c r="A17" s="227">
        <v>1</v>
      </c>
      <c r="B17" s="147" t="s">
        <v>34</v>
      </c>
      <c r="C17" s="143"/>
      <c r="D17" s="148" t="s">
        <v>74</v>
      </c>
      <c r="E17" s="149">
        <f aca="true" t="shared" si="4" ref="E17:E61">IF($U17="","",RANK($U17,$U$17:$U$61,1))</f>
        <v>21</v>
      </c>
      <c r="F17" s="150">
        <v>1</v>
      </c>
      <c r="G17" s="151">
        <v>32.284</v>
      </c>
      <c r="H17" s="150">
        <v>1</v>
      </c>
      <c r="I17" s="151"/>
      <c r="J17" s="150">
        <v>1</v>
      </c>
      <c r="K17" s="151">
        <v>31.544</v>
      </c>
      <c r="L17" s="150"/>
      <c r="M17" s="150"/>
      <c r="N17" s="149">
        <f aca="true" t="shared" si="5" ref="N17:N43">IF(U17="","",TRUNC(U17/60))</f>
        <v>1</v>
      </c>
      <c r="O17" s="152">
        <f aca="true" t="shared" si="6" ref="O17:O43">IF(T17="","",T17-N17*60)</f>
        <v>31.543999999999997</v>
      </c>
      <c r="P17" s="143"/>
      <c r="Q17" s="143"/>
      <c r="R17" s="90">
        <f aca="true" t="shared" si="7" ref="R17:R43">IF($G17="","",$F17*60+$G17+$H17*5+$I17)</f>
        <v>97.28399999999999</v>
      </c>
      <c r="S17" s="90">
        <f aca="true" t="shared" si="8" ref="S17:S43">IF($K17="","",$J17*60+$K17+$L17*5+$M17)</f>
        <v>91.544</v>
      </c>
      <c r="T17" s="91">
        <f aca="true" t="shared" si="9" ref="T17:T43">IF($S17="",$R17,IF($R17&lt;$S17,$R17,$S17))</f>
        <v>91.544</v>
      </c>
      <c r="U17" s="91">
        <f aca="true" t="shared" si="10" ref="U17:U43">IF($S17="",$R17,IF($R17&lt;$S17,$R17+0.001,$S17))</f>
        <v>91.544</v>
      </c>
      <c r="V17" s="107"/>
      <c r="W17" s="89">
        <f aca="true" t="shared" si="11" ref="W17:W43">IF($E17="","",$E17+(ROW(E17)-16)*0.001)</f>
        <v>21.001</v>
      </c>
      <c r="X17" s="89"/>
      <c r="Y17" s="89">
        <f aca="true" t="shared" si="12" ref="Y17:Y43">$E17</f>
        <v>21</v>
      </c>
      <c r="Z17" s="90"/>
      <c r="AA17" s="89" t="str">
        <f>D17</f>
        <v>高田　航希</v>
      </c>
      <c r="AB17" s="60" t="str">
        <f>B17</f>
        <v>東京農業大学</v>
      </c>
      <c r="AC17" s="88">
        <f aca="true" t="shared" si="13" ref="AC17:AC43">$N17</f>
        <v>1</v>
      </c>
      <c r="AD17" s="87">
        <f aca="true" t="shared" si="14" ref="AD17:AD43">$O17</f>
        <v>31.543999999999997</v>
      </c>
      <c r="AF17" s="56"/>
    </row>
    <row r="18" spans="1:32" ht="14.25" customHeight="1" thickBot="1">
      <c r="A18" s="227"/>
      <c r="B18" s="147" t="s">
        <v>34</v>
      </c>
      <c r="C18" s="153">
        <f>IF($V18="",IF(COUNTA(#REF!)=3,"",""),RANK($V18,$V$17:$V$61,1))</f>
        <v>7</v>
      </c>
      <c r="D18" s="148" t="s">
        <v>68</v>
      </c>
      <c r="E18" s="149">
        <f t="shared" si="4"/>
        <v>23</v>
      </c>
      <c r="F18" s="150">
        <v>1</v>
      </c>
      <c r="G18" s="151">
        <v>34.626</v>
      </c>
      <c r="H18" s="150"/>
      <c r="I18" s="151"/>
      <c r="J18" s="150">
        <v>1</v>
      </c>
      <c r="K18" s="151">
        <v>32.475</v>
      </c>
      <c r="L18" s="150"/>
      <c r="M18" s="150"/>
      <c r="N18" s="154">
        <f t="shared" si="5"/>
        <v>1</v>
      </c>
      <c r="O18" s="155">
        <f t="shared" si="6"/>
        <v>32.474999999999994</v>
      </c>
      <c r="P18" s="154">
        <f>IF(COUNT($O17:$O19)=3,INT((SUM($N17:$N19)*60+SUM($O17:$O19))/60),"")</f>
        <v>4</v>
      </c>
      <c r="Q18" s="154">
        <f>IF(COUNT($O17:$O19)=3,((SUM($N17:$N19)*60+SUM($O17:$O19)))-$P18*60,"")</f>
        <v>34.89699999999999</v>
      </c>
      <c r="R18" s="49">
        <f t="shared" si="7"/>
        <v>94.626</v>
      </c>
      <c r="S18" s="49">
        <f t="shared" si="8"/>
        <v>92.475</v>
      </c>
      <c r="T18" s="58">
        <f t="shared" si="9"/>
        <v>92.475</v>
      </c>
      <c r="U18" s="58">
        <f t="shared" si="10"/>
        <v>92.475</v>
      </c>
      <c r="V18" s="105">
        <f>IF($Q18="","",$P18*60+$Q18)</f>
        <v>274.897</v>
      </c>
      <c r="W18" s="76">
        <f t="shared" si="11"/>
        <v>23.002</v>
      </c>
      <c r="X18" s="49">
        <f>IF($C18="","",$C18+(ROW(C18)-17)*0.001)</f>
        <v>7.001</v>
      </c>
      <c r="Y18" s="89">
        <f t="shared" si="12"/>
        <v>23</v>
      </c>
      <c r="Z18" s="49">
        <f>$C18</f>
        <v>7</v>
      </c>
      <c r="AA18" s="89" t="str">
        <f aca="true" t="shared" si="15" ref="AA18:AA43">D18</f>
        <v>階藤　有彬</v>
      </c>
      <c r="AB18" s="60" t="str">
        <f aca="true" t="shared" si="16" ref="AB18:AB43">B18</f>
        <v>東京農業大学</v>
      </c>
      <c r="AC18" s="75">
        <f t="shared" si="13"/>
        <v>1</v>
      </c>
      <c r="AD18" s="50">
        <f t="shared" si="14"/>
        <v>32.474999999999994</v>
      </c>
      <c r="AF18" s="57"/>
    </row>
    <row r="19" spans="1:32" ht="14.25" customHeight="1" thickBot="1">
      <c r="A19" s="227"/>
      <c r="B19" s="147" t="s">
        <v>34</v>
      </c>
      <c r="C19" s="153"/>
      <c r="D19" s="148" t="s">
        <v>69</v>
      </c>
      <c r="E19" s="149">
        <f t="shared" si="4"/>
        <v>20</v>
      </c>
      <c r="F19" s="150">
        <v>1</v>
      </c>
      <c r="G19" s="151">
        <v>30.878</v>
      </c>
      <c r="H19" s="150"/>
      <c r="I19" s="151"/>
      <c r="J19" s="150">
        <v>1</v>
      </c>
      <c r="K19" s="151">
        <v>31.066</v>
      </c>
      <c r="L19" s="150"/>
      <c r="M19" s="150"/>
      <c r="N19" s="154">
        <f t="shared" si="5"/>
        <v>1</v>
      </c>
      <c r="O19" s="155">
        <f t="shared" si="6"/>
        <v>30.878</v>
      </c>
      <c r="P19" s="154"/>
      <c r="Q19" s="154"/>
      <c r="R19" s="47">
        <f t="shared" si="7"/>
        <v>90.878</v>
      </c>
      <c r="S19" s="47">
        <f t="shared" si="8"/>
        <v>91.066</v>
      </c>
      <c r="T19" s="62">
        <f t="shared" si="9"/>
        <v>90.878</v>
      </c>
      <c r="U19" s="62">
        <f t="shared" si="10"/>
        <v>90.879</v>
      </c>
      <c r="V19" s="102"/>
      <c r="W19" s="61">
        <f t="shared" si="11"/>
        <v>20.003</v>
      </c>
      <c r="X19" s="61"/>
      <c r="Y19" s="89">
        <f t="shared" si="12"/>
        <v>20</v>
      </c>
      <c r="Z19" s="49"/>
      <c r="AA19" s="89" t="str">
        <f t="shared" si="15"/>
        <v>増本　巧</v>
      </c>
      <c r="AB19" s="60" t="str">
        <f t="shared" si="16"/>
        <v>東京農業大学</v>
      </c>
      <c r="AC19" s="59">
        <f t="shared" si="13"/>
        <v>1</v>
      </c>
      <c r="AD19" s="48">
        <f t="shared" si="14"/>
        <v>30.878</v>
      </c>
      <c r="AF19" s="56"/>
    </row>
    <row r="20" spans="1:32" ht="14.25" customHeight="1" thickBot="1">
      <c r="A20" s="227">
        <v>2</v>
      </c>
      <c r="B20" s="147" t="s">
        <v>47</v>
      </c>
      <c r="C20" s="143"/>
      <c r="D20" s="156" t="s">
        <v>70</v>
      </c>
      <c r="E20" s="149">
        <f t="shared" si="4"/>
        <v>22</v>
      </c>
      <c r="F20" s="150">
        <v>1</v>
      </c>
      <c r="G20" s="151">
        <v>31.935</v>
      </c>
      <c r="H20" s="150"/>
      <c r="I20" s="151"/>
      <c r="J20" s="150">
        <v>1</v>
      </c>
      <c r="K20" s="151">
        <v>45.428</v>
      </c>
      <c r="L20" s="150"/>
      <c r="M20" s="150"/>
      <c r="N20" s="154">
        <f t="shared" si="5"/>
        <v>1</v>
      </c>
      <c r="O20" s="155">
        <f t="shared" si="6"/>
        <v>31.935000000000002</v>
      </c>
      <c r="P20" s="154"/>
      <c r="Q20" s="154"/>
      <c r="R20" s="90">
        <f t="shared" si="7"/>
        <v>91.935</v>
      </c>
      <c r="S20" s="90">
        <f t="shared" si="8"/>
        <v>105.428</v>
      </c>
      <c r="T20" s="91">
        <f t="shared" si="9"/>
        <v>91.935</v>
      </c>
      <c r="U20" s="91">
        <f t="shared" si="10"/>
        <v>91.936</v>
      </c>
      <c r="V20" s="91"/>
      <c r="W20" s="89">
        <f t="shared" si="11"/>
        <v>22.004</v>
      </c>
      <c r="X20" s="89"/>
      <c r="Y20" s="89">
        <f t="shared" si="12"/>
        <v>22</v>
      </c>
      <c r="Z20" s="90"/>
      <c r="AA20" s="89" t="str">
        <f t="shared" si="15"/>
        <v>磯部　航介</v>
      </c>
      <c r="AB20" s="60" t="str">
        <f t="shared" si="16"/>
        <v>東京理科大学</v>
      </c>
      <c r="AC20" s="88">
        <f t="shared" si="13"/>
        <v>1</v>
      </c>
      <c r="AD20" s="87">
        <f t="shared" si="14"/>
        <v>31.935000000000002</v>
      </c>
      <c r="AF20" s="56"/>
    </row>
    <row r="21" spans="1:32" ht="14.25" customHeight="1" thickBot="1">
      <c r="A21" s="227"/>
      <c r="B21" s="147" t="s">
        <v>47</v>
      </c>
      <c r="C21" s="153">
        <f>IF($V21="",IF(COUNTA(#REF!)=3,"",""),RANK($V21,$V$17:$V$61,1))</f>
        <v>5</v>
      </c>
      <c r="D21" s="148" t="s">
        <v>71</v>
      </c>
      <c r="E21" s="149">
        <f t="shared" si="4"/>
        <v>18</v>
      </c>
      <c r="F21" s="150">
        <v>1</v>
      </c>
      <c r="G21" s="151">
        <v>31.176</v>
      </c>
      <c r="H21" s="150"/>
      <c r="I21" s="151"/>
      <c r="J21" s="150">
        <v>1</v>
      </c>
      <c r="K21" s="151">
        <v>29.716</v>
      </c>
      <c r="L21" s="150"/>
      <c r="M21" s="150"/>
      <c r="N21" s="154">
        <f t="shared" si="5"/>
        <v>1</v>
      </c>
      <c r="O21" s="155">
        <f t="shared" si="6"/>
        <v>29.716000000000008</v>
      </c>
      <c r="P21" s="154">
        <f>IF(COUNT($O20:$O22)=3,INT((SUM($N20:$N22)*60+SUM($O20:$O22))/60),"")</f>
        <v>4</v>
      </c>
      <c r="Q21" s="154">
        <f>IF(COUNT($O20:$O22)=3,((SUM($N20:$N22)*60+SUM($O20:$O22)))-$P21*60,"")</f>
        <v>25.47199999999998</v>
      </c>
      <c r="R21" s="49">
        <f t="shared" si="7"/>
        <v>91.176</v>
      </c>
      <c r="S21" s="49">
        <f t="shared" si="8"/>
        <v>89.71600000000001</v>
      </c>
      <c r="T21" s="58">
        <f t="shared" si="9"/>
        <v>89.71600000000001</v>
      </c>
      <c r="U21" s="58">
        <f t="shared" si="10"/>
        <v>89.71600000000001</v>
      </c>
      <c r="V21" s="58">
        <f>IF($Q21="","",$P21*60+$Q21)</f>
        <v>265.472</v>
      </c>
      <c r="W21" s="76">
        <f t="shared" si="11"/>
        <v>18.005</v>
      </c>
      <c r="X21" s="49">
        <f>IF($C21="","",$C21+(ROW(C21)-17)*0.001)</f>
        <v>5.004</v>
      </c>
      <c r="Y21" s="89">
        <f t="shared" si="12"/>
        <v>18</v>
      </c>
      <c r="Z21" s="49">
        <f>$C21</f>
        <v>5</v>
      </c>
      <c r="AA21" s="89" t="str">
        <f t="shared" si="15"/>
        <v>斎藤　勇真</v>
      </c>
      <c r="AB21" s="60" t="str">
        <f t="shared" si="16"/>
        <v>東京理科大学</v>
      </c>
      <c r="AC21" s="75">
        <f t="shared" si="13"/>
        <v>1</v>
      </c>
      <c r="AD21" s="50">
        <f t="shared" si="14"/>
        <v>29.716000000000008</v>
      </c>
      <c r="AF21" s="57"/>
    </row>
    <row r="22" spans="1:32" ht="14.25" customHeight="1" thickBot="1">
      <c r="A22" s="227"/>
      <c r="B22" s="147" t="s">
        <v>47</v>
      </c>
      <c r="C22" s="153"/>
      <c r="D22" s="148" t="s">
        <v>72</v>
      </c>
      <c r="E22" s="149">
        <f t="shared" si="4"/>
        <v>9</v>
      </c>
      <c r="F22" s="150">
        <v>1</v>
      </c>
      <c r="G22" s="151">
        <v>23.821</v>
      </c>
      <c r="H22" s="150"/>
      <c r="I22" s="151"/>
      <c r="J22" s="150">
        <v>1</v>
      </c>
      <c r="K22" s="151">
        <v>24.5</v>
      </c>
      <c r="L22" s="150"/>
      <c r="M22" s="150"/>
      <c r="N22" s="154">
        <f t="shared" si="5"/>
        <v>1</v>
      </c>
      <c r="O22" s="155">
        <f t="shared" si="6"/>
        <v>23.820999999999998</v>
      </c>
      <c r="P22" s="154"/>
      <c r="Q22" s="154"/>
      <c r="R22" s="47">
        <f t="shared" si="7"/>
        <v>83.821</v>
      </c>
      <c r="S22" s="47">
        <f t="shared" si="8"/>
        <v>84.5</v>
      </c>
      <c r="T22" s="62">
        <f t="shared" si="9"/>
        <v>83.821</v>
      </c>
      <c r="U22" s="62">
        <f t="shared" si="10"/>
        <v>83.822</v>
      </c>
      <c r="V22" s="62"/>
      <c r="W22" s="61">
        <f t="shared" si="11"/>
        <v>9.006</v>
      </c>
      <c r="X22" s="61"/>
      <c r="Y22" s="89">
        <f t="shared" si="12"/>
        <v>9</v>
      </c>
      <c r="Z22" s="49"/>
      <c r="AA22" s="89" t="str">
        <f t="shared" si="15"/>
        <v>泉田　真志</v>
      </c>
      <c r="AB22" s="60" t="str">
        <f t="shared" si="16"/>
        <v>東京理科大学</v>
      </c>
      <c r="AC22" s="59">
        <f t="shared" si="13"/>
        <v>1</v>
      </c>
      <c r="AD22" s="48">
        <f t="shared" si="14"/>
        <v>23.820999999999998</v>
      </c>
      <c r="AF22" s="56"/>
    </row>
    <row r="23" spans="1:32" ht="14.25" customHeight="1" thickBot="1">
      <c r="A23" s="227">
        <v>3</v>
      </c>
      <c r="B23" s="147" t="s">
        <v>35</v>
      </c>
      <c r="C23" s="143"/>
      <c r="D23" s="148" t="s">
        <v>73</v>
      </c>
      <c r="E23" s="149">
        <f t="shared" si="4"/>
        <v>12</v>
      </c>
      <c r="F23" s="150">
        <v>1</v>
      </c>
      <c r="G23" s="151">
        <v>26.933</v>
      </c>
      <c r="H23" s="150"/>
      <c r="I23" s="151"/>
      <c r="J23" s="150">
        <v>1</v>
      </c>
      <c r="K23" s="151">
        <v>25.42</v>
      </c>
      <c r="L23" s="150"/>
      <c r="M23" s="150"/>
      <c r="N23" s="149">
        <f t="shared" si="5"/>
        <v>1</v>
      </c>
      <c r="O23" s="152">
        <f t="shared" si="6"/>
        <v>25.42</v>
      </c>
      <c r="P23" s="143"/>
      <c r="Q23" s="143"/>
      <c r="R23" s="90">
        <f t="shared" si="7"/>
        <v>86.93299999999999</v>
      </c>
      <c r="S23" s="90">
        <f t="shared" si="8"/>
        <v>85.42</v>
      </c>
      <c r="T23" s="91">
        <f t="shared" si="9"/>
        <v>85.42</v>
      </c>
      <c r="U23" s="91">
        <f t="shared" si="10"/>
        <v>85.42</v>
      </c>
      <c r="V23" s="107"/>
      <c r="W23" s="89">
        <f t="shared" si="11"/>
        <v>12.007</v>
      </c>
      <c r="X23" s="89"/>
      <c r="Y23" s="89">
        <f t="shared" si="12"/>
        <v>12</v>
      </c>
      <c r="Z23" s="90"/>
      <c r="AA23" s="89" t="str">
        <f t="shared" si="15"/>
        <v>小野　徳馬</v>
      </c>
      <c r="AB23" s="60" t="str">
        <f t="shared" si="16"/>
        <v>慶應義塾大学</v>
      </c>
      <c r="AC23" s="88">
        <f t="shared" si="13"/>
        <v>1</v>
      </c>
      <c r="AD23" s="87">
        <f t="shared" si="14"/>
        <v>25.42</v>
      </c>
      <c r="AF23" s="56"/>
    </row>
    <row r="24" spans="1:32" ht="14.25" customHeight="1" thickBot="1">
      <c r="A24" s="227"/>
      <c r="B24" s="147" t="s">
        <v>35</v>
      </c>
      <c r="C24" s="153">
        <f>IF($V24="",IF(COUNTA(#REF!)=3,"",""),RANK($V24,$V$17:$V$61,1))</f>
        <v>2</v>
      </c>
      <c r="D24" s="148" t="s">
        <v>75</v>
      </c>
      <c r="E24" s="149">
        <f t="shared" si="4"/>
        <v>11</v>
      </c>
      <c r="F24" s="150">
        <v>1</v>
      </c>
      <c r="G24" s="151">
        <v>27.284</v>
      </c>
      <c r="H24" s="150"/>
      <c r="I24" s="151"/>
      <c r="J24" s="150">
        <v>1</v>
      </c>
      <c r="K24" s="151">
        <v>24.452</v>
      </c>
      <c r="L24" s="150"/>
      <c r="M24" s="150"/>
      <c r="N24" s="154">
        <f t="shared" si="5"/>
        <v>1</v>
      </c>
      <c r="O24" s="155">
        <f t="shared" si="6"/>
        <v>24.451999999999998</v>
      </c>
      <c r="P24" s="154">
        <f>IF(COUNT($O23:$O25)=3,INT((SUM($N23:$N25)*60+SUM($O23:$O25))/60),"")</f>
        <v>4</v>
      </c>
      <c r="Q24" s="154">
        <f>IF(COUNT($O23:$O25)=3,((SUM($N23:$N25)*60+SUM($O23:$O25)))-$P24*60,"")</f>
        <v>11.65100000000001</v>
      </c>
      <c r="R24" s="49">
        <f t="shared" si="7"/>
        <v>87.28399999999999</v>
      </c>
      <c r="S24" s="49">
        <f t="shared" si="8"/>
        <v>84.452</v>
      </c>
      <c r="T24" s="58">
        <f t="shared" si="9"/>
        <v>84.452</v>
      </c>
      <c r="U24" s="58">
        <f t="shared" si="10"/>
        <v>84.452</v>
      </c>
      <c r="V24" s="105">
        <f>IF($Q24="","",$P24*60+$Q24)</f>
        <v>251.651</v>
      </c>
      <c r="W24" s="76">
        <f t="shared" si="11"/>
        <v>11.008</v>
      </c>
      <c r="X24" s="49">
        <f>IF($C24="","",$C24+(ROW(C24)-17)*0.001)</f>
        <v>2.007</v>
      </c>
      <c r="Y24" s="89">
        <f t="shared" si="12"/>
        <v>11</v>
      </c>
      <c r="Z24" s="49">
        <f>$C24</f>
        <v>2</v>
      </c>
      <c r="AA24" s="89" t="str">
        <f t="shared" si="15"/>
        <v>菰田　千也</v>
      </c>
      <c r="AB24" s="60" t="str">
        <f t="shared" si="16"/>
        <v>慶應義塾大学</v>
      </c>
      <c r="AC24" s="75">
        <f t="shared" si="13"/>
        <v>1</v>
      </c>
      <c r="AD24" s="50">
        <f t="shared" si="14"/>
        <v>24.451999999999998</v>
      </c>
      <c r="AF24" s="57"/>
    </row>
    <row r="25" spans="1:32" ht="14.25" customHeight="1" thickBot="1">
      <c r="A25" s="227"/>
      <c r="B25" s="147" t="s">
        <v>35</v>
      </c>
      <c r="C25" s="153"/>
      <c r="D25" s="148" t="s">
        <v>76</v>
      </c>
      <c r="E25" s="149">
        <f t="shared" si="4"/>
        <v>2</v>
      </c>
      <c r="F25" s="150">
        <v>1</v>
      </c>
      <c r="G25" s="151">
        <v>21.779</v>
      </c>
      <c r="H25" s="150"/>
      <c r="I25" s="151"/>
      <c r="J25" s="150">
        <v>1</v>
      </c>
      <c r="K25" s="151">
        <v>26.249</v>
      </c>
      <c r="L25" s="150">
        <v>1</v>
      </c>
      <c r="M25" s="150"/>
      <c r="N25" s="154">
        <f t="shared" si="5"/>
        <v>1</v>
      </c>
      <c r="O25" s="155">
        <f t="shared" si="6"/>
        <v>21.778999999999996</v>
      </c>
      <c r="P25" s="154"/>
      <c r="Q25" s="154"/>
      <c r="R25" s="47">
        <f t="shared" si="7"/>
        <v>81.779</v>
      </c>
      <c r="S25" s="47">
        <f t="shared" si="8"/>
        <v>91.249</v>
      </c>
      <c r="T25" s="62">
        <f t="shared" si="9"/>
        <v>81.779</v>
      </c>
      <c r="U25" s="62">
        <f t="shared" si="10"/>
        <v>81.78</v>
      </c>
      <c r="V25" s="102"/>
      <c r="W25" s="61">
        <f t="shared" si="11"/>
        <v>2.009</v>
      </c>
      <c r="X25" s="61"/>
      <c r="Y25" s="89">
        <f t="shared" si="12"/>
        <v>2</v>
      </c>
      <c r="Z25" s="49"/>
      <c r="AA25" s="89" t="str">
        <f t="shared" si="15"/>
        <v>坂田　佳哉</v>
      </c>
      <c r="AB25" s="60" t="str">
        <f t="shared" si="16"/>
        <v>慶應義塾大学</v>
      </c>
      <c r="AC25" s="59">
        <f t="shared" si="13"/>
        <v>1</v>
      </c>
      <c r="AD25" s="48">
        <f t="shared" si="14"/>
        <v>21.778999999999996</v>
      </c>
      <c r="AF25" s="56"/>
    </row>
    <row r="26" spans="1:32" ht="14.25" customHeight="1" thickBot="1">
      <c r="A26" s="227">
        <v>4</v>
      </c>
      <c r="B26" s="147" t="s">
        <v>33</v>
      </c>
      <c r="C26" s="143"/>
      <c r="D26" s="148" t="s">
        <v>77</v>
      </c>
      <c r="E26" s="149">
        <f t="shared" si="4"/>
        <v>3</v>
      </c>
      <c r="F26" s="150">
        <v>1</v>
      </c>
      <c r="G26" s="151">
        <v>24.739</v>
      </c>
      <c r="H26" s="150"/>
      <c r="I26" s="151"/>
      <c r="J26" s="150">
        <v>1</v>
      </c>
      <c r="K26" s="151">
        <v>22.022</v>
      </c>
      <c r="L26" s="150"/>
      <c r="M26" s="150"/>
      <c r="N26" s="154">
        <f t="shared" si="5"/>
        <v>1</v>
      </c>
      <c r="O26" s="155">
        <f t="shared" si="6"/>
        <v>22.02199999999999</v>
      </c>
      <c r="P26" s="154"/>
      <c r="Q26" s="154"/>
      <c r="R26" s="90">
        <f t="shared" si="7"/>
        <v>84.739</v>
      </c>
      <c r="S26" s="90">
        <f t="shared" si="8"/>
        <v>82.02199999999999</v>
      </c>
      <c r="T26" s="91">
        <f t="shared" si="9"/>
        <v>82.02199999999999</v>
      </c>
      <c r="U26" s="91">
        <f t="shared" si="10"/>
        <v>82.02199999999999</v>
      </c>
      <c r="V26" s="91"/>
      <c r="W26" s="89">
        <f t="shared" si="11"/>
        <v>3.01</v>
      </c>
      <c r="X26" s="89"/>
      <c r="Y26" s="89">
        <f t="shared" si="12"/>
        <v>3</v>
      </c>
      <c r="Z26" s="90"/>
      <c r="AA26" s="89" t="str">
        <f t="shared" si="15"/>
        <v>尾形　莉欧</v>
      </c>
      <c r="AB26" s="60" t="str">
        <f t="shared" si="16"/>
        <v>中央大学</v>
      </c>
      <c r="AC26" s="88">
        <f t="shared" si="13"/>
        <v>1</v>
      </c>
      <c r="AD26" s="87">
        <f t="shared" si="14"/>
        <v>22.02199999999999</v>
      </c>
      <c r="AF26" s="56"/>
    </row>
    <row r="27" spans="1:32" ht="14.25" customHeight="1" thickBot="1">
      <c r="A27" s="227"/>
      <c r="B27" s="147" t="s">
        <v>33</v>
      </c>
      <c r="C27" s="153">
        <f>IF($V27="",IF(COUNTA(#REF!)=3,"",""),RANK($V27,$V$17:$V$61,1))</f>
        <v>3</v>
      </c>
      <c r="D27" s="148" t="s">
        <v>78</v>
      </c>
      <c r="E27" s="149">
        <f t="shared" si="4"/>
        <v>14</v>
      </c>
      <c r="F27" s="150">
        <v>1</v>
      </c>
      <c r="G27" s="151">
        <v>26.511</v>
      </c>
      <c r="H27" s="150"/>
      <c r="I27" s="151"/>
      <c r="J27" s="150">
        <v>1</v>
      </c>
      <c r="K27" s="151">
        <v>34.977</v>
      </c>
      <c r="L27" s="150"/>
      <c r="M27" s="150"/>
      <c r="N27" s="154">
        <f t="shared" si="5"/>
        <v>1</v>
      </c>
      <c r="O27" s="155">
        <f t="shared" si="6"/>
        <v>26.510999999999996</v>
      </c>
      <c r="P27" s="154">
        <f>IF(COUNT($O26:$O28)=3,INT((SUM($N26:$N28)*60+SUM($O26:$O28))/60),"")</f>
        <v>4</v>
      </c>
      <c r="Q27" s="154">
        <f>IF(COUNT($O26:$O28)=3,((SUM($N26:$N28)*60+SUM($O26:$O28)))-$P27*60,"")</f>
        <v>12.846000000000004</v>
      </c>
      <c r="R27" s="49">
        <f t="shared" si="7"/>
        <v>86.511</v>
      </c>
      <c r="S27" s="49">
        <f t="shared" si="8"/>
        <v>94.977</v>
      </c>
      <c r="T27" s="58">
        <f t="shared" si="9"/>
        <v>86.511</v>
      </c>
      <c r="U27" s="58">
        <f t="shared" si="10"/>
        <v>86.512</v>
      </c>
      <c r="V27" s="58">
        <f>IF($Q27="","",$P27*60+$Q27)</f>
        <v>252.846</v>
      </c>
      <c r="W27" s="76">
        <f t="shared" si="11"/>
        <v>14.011</v>
      </c>
      <c r="X27" s="49">
        <f>IF($C27="","",$C27+(ROW(C27)-17)*0.001)</f>
        <v>3.01</v>
      </c>
      <c r="Y27" s="89">
        <f t="shared" si="12"/>
        <v>14</v>
      </c>
      <c r="Z27" s="49">
        <f>$C27</f>
        <v>3</v>
      </c>
      <c r="AA27" s="89" t="str">
        <f t="shared" si="15"/>
        <v>高橋　凛太郎</v>
      </c>
      <c r="AB27" s="60" t="str">
        <f t="shared" si="16"/>
        <v>中央大学</v>
      </c>
      <c r="AC27" s="75">
        <f t="shared" si="13"/>
        <v>1</v>
      </c>
      <c r="AD27" s="50">
        <f t="shared" si="14"/>
        <v>26.510999999999996</v>
      </c>
      <c r="AF27" s="112"/>
    </row>
    <row r="28" spans="1:32" ht="14.25" customHeight="1" thickBot="1">
      <c r="A28" s="227"/>
      <c r="B28" s="147" t="s">
        <v>33</v>
      </c>
      <c r="C28" s="153"/>
      <c r="D28" s="148" t="s">
        <v>79</v>
      </c>
      <c r="E28" s="149">
        <f t="shared" si="4"/>
        <v>10</v>
      </c>
      <c r="F28" s="150">
        <v>1</v>
      </c>
      <c r="G28" s="151">
        <v>24.926</v>
      </c>
      <c r="H28" s="150"/>
      <c r="I28" s="151"/>
      <c r="J28" s="150">
        <v>1</v>
      </c>
      <c r="K28" s="151">
        <v>24.313</v>
      </c>
      <c r="L28" s="150"/>
      <c r="M28" s="150"/>
      <c r="N28" s="154">
        <f t="shared" si="5"/>
        <v>1</v>
      </c>
      <c r="O28" s="155">
        <f t="shared" si="6"/>
        <v>24.313000000000002</v>
      </c>
      <c r="P28" s="154"/>
      <c r="Q28" s="154"/>
      <c r="R28" s="47">
        <f t="shared" si="7"/>
        <v>84.926</v>
      </c>
      <c r="S28" s="47">
        <f t="shared" si="8"/>
        <v>84.313</v>
      </c>
      <c r="T28" s="62">
        <f t="shared" si="9"/>
        <v>84.313</v>
      </c>
      <c r="U28" s="62">
        <f t="shared" si="10"/>
        <v>84.313</v>
      </c>
      <c r="V28" s="62"/>
      <c r="W28" s="61">
        <f t="shared" si="11"/>
        <v>10.012</v>
      </c>
      <c r="X28" s="61"/>
      <c r="Y28" s="89">
        <f t="shared" si="12"/>
        <v>10</v>
      </c>
      <c r="Z28" s="49"/>
      <c r="AA28" s="89" t="str">
        <f t="shared" si="15"/>
        <v>渡邉　知成</v>
      </c>
      <c r="AB28" s="60" t="str">
        <f t="shared" si="16"/>
        <v>中央大学</v>
      </c>
      <c r="AC28" s="59">
        <f t="shared" si="13"/>
        <v>1</v>
      </c>
      <c r="AD28" s="48">
        <f t="shared" si="14"/>
        <v>24.313000000000002</v>
      </c>
      <c r="AF28" s="111"/>
    </row>
    <row r="29" spans="1:32" ht="14.25" customHeight="1" thickBot="1">
      <c r="A29" s="227">
        <v>5</v>
      </c>
      <c r="B29" s="147" t="s">
        <v>48</v>
      </c>
      <c r="C29" s="143"/>
      <c r="D29" s="148" t="s">
        <v>80</v>
      </c>
      <c r="E29" s="149">
        <f t="shared" si="4"/>
        <v>19</v>
      </c>
      <c r="F29" s="150">
        <v>1</v>
      </c>
      <c r="G29" s="151">
        <v>30.771</v>
      </c>
      <c r="H29" s="150"/>
      <c r="I29" s="151"/>
      <c r="J29" s="150">
        <v>1</v>
      </c>
      <c r="K29" s="151">
        <v>51.742</v>
      </c>
      <c r="L29" s="150">
        <v>2</v>
      </c>
      <c r="M29" s="150"/>
      <c r="N29" s="149">
        <f t="shared" si="5"/>
        <v>1</v>
      </c>
      <c r="O29" s="152">
        <f t="shared" si="6"/>
        <v>30.771</v>
      </c>
      <c r="P29" s="143"/>
      <c r="Q29" s="143"/>
      <c r="R29" s="90">
        <f t="shared" si="7"/>
        <v>90.771</v>
      </c>
      <c r="S29" s="90">
        <f t="shared" si="8"/>
        <v>121.74199999999999</v>
      </c>
      <c r="T29" s="91">
        <f t="shared" si="9"/>
        <v>90.771</v>
      </c>
      <c r="U29" s="91">
        <f t="shared" si="10"/>
        <v>90.772</v>
      </c>
      <c r="V29" s="107"/>
      <c r="W29" s="89">
        <f t="shared" si="11"/>
        <v>19.013</v>
      </c>
      <c r="X29" s="89"/>
      <c r="Y29" s="89">
        <f t="shared" si="12"/>
        <v>19</v>
      </c>
      <c r="Z29" s="90"/>
      <c r="AA29" s="89" t="str">
        <f t="shared" si="15"/>
        <v>恩田　雅弘</v>
      </c>
      <c r="AB29" s="60" t="str">
        <f t="shared" si="16"/>
        <v>立教大学</v>
      </c>
      <c r="AC29" s="88">
        <f t="shared" si="13"/>
        <v>1</v>
      </c>
      <c r="AD29" s="87">
        <f t="shared" si="14"/>
        <v>30.771</v>
      </c>
      <c r="AF29" s="56"/>
    </row>
    <row r="30" spans="1:32" ht="14.25" customHeight="1" thickBot="1">
      <c r="A30" s="227"/>
      <c r="B30" s="147" t="s">
        <v>48</v>
      </c>
      <c r="C30" s="153">
        <f>IF($V30="",IF(COUNTA(#REF!)=3,"",""),RANK($V30,$V$17:$V$61,1))</f>
        <v>6</v>
      </c>
      <c r="D30" s="148" t="s">
        <v>81</v>
      </c>
      <c r="E30" s="149">
        <f t="shared" si="4"/>
        <v>16</v>
      </c>
      <c r="F30" s="150">
        <v>1</v>
      </c>
      <c r="G30" s="151">
        <v>29.255</v>
      </c>
      <c r="H30" s="150"/>
      <c r="I30" s="151"/>
      <c r="J30" s="150">
        <v>1</v>
      </c>
      <c r="K30" s="151">
        <v>31.507</v>
      </c>
      <c r="L30" s="150"/>
      <c r="M30" s="150"/>
      <c r="N30" s="154">
        <f t="shared" si="5"/>
        <v>1</v>
      </c>
      <c r="O30" s="155">
        <f t="shared" si="6"/>
        <v>29.254999999999995</v>
      </c>
      <c r="P30" s="154">
        <f>IF(COUNT($O29:$O31)=3,INT((SUM($N29:$N31)*60+SUM($O29:$O31))/60),"")</f>
        <v>4</v>
      </c>
      <c r="Q30" s="154">
        <f>IF(COUNT($O29:$O31)=3,((SUM($N29:$N31)*60+SUM($O29:$O31)))-$P30*60,"")</f>
        <v>26.27600000000001</v>
      </c>
      <c r="R30" s="49">
        <f t="shared" si="7"/>
        <v>89.255</v>
      </c>
      <c r="S30" s="49">
        <f t="shared" si="8"/>
        <v>91.507</v>
      </c>
      <c r="T30" s="58">
        <f t="shared" si="9"/>
        <v>89.255</v>
      </c>
      <c r="U30" s="58">
        <f t="shared" si="10"/>
        <v>89.256</v>
      </c>
      <c r="V30" s="105">
        <f>IF($Q30="","",$P30*60+$Q30)</f>
        <v>266.276</v>
      </c>
      <c r="W30" s="76">
        <f t="shared" si="11"/>
        <v>16.014</v>
      </c>
      <c r="X30" s="49">
        <f>IF($C30="","",$C30+(ROW(C30)-17)*0.001)</f>
        <v>6.013</v>
      </c>
      <c r="Y30" s="89">
        <f t="shared" si="12"/>
        <v>16</v>
      </c>
      <c r="Z30" s="49">
        <f>$C30</f>
        <v>6</v>
      </c>
      <c r="AA30" s="89" t="str">
        <f t="shared" si="15"/>
        <v>岩瀬　直也</v>
      </c>
      <c r="AB30" s="60" t="str">
        <f t="shared" si="16"/>
        <v>立教大学</v>
      </c>
      <c r="AC30" s="75">
        <f t="shared" si="13"/>
        <v>1</v>
      </c>
      <c r="AD30" s="50">
        <f t="shared" si="14"/>
        <v>29.254999999999995</v>
      </c>
      <c r="AF30" s="112"/>
    </row>
    <row r="31" spans="1:32" ht="14.25" customHeight="1" thickBot="1">
      <c r="A31" s="227"/>
      <c r="B31" s="147" t="s">
        <v>48</v>
      </c>
      <c r="C31" s="153"/>
      <c r="D31" s="148" t="s">
        <v>82</v>
      </c>
      <c r="E31" s="149">
        <f t="shared" si="4"/>
        <v>13</v>
      </c>
      <c r="F31" s="150">
        <v>1</v>
      </c>
      <c r="G31" s="151">
        <v>32.293</v>
      </c>
      <c r="H31" s="150"/>
      <c r="I31" s="151"/>
      <c r="J31" s="150">
        <v>1</v>
      </c>
      <c r="K31" s="151">
        <v>26.25</v>
      </c>
      <c r="L31" s="150"/>
      <c r="M31" s="150"/>
      <c r="N31" s="154">
        <f t="shared" si="5"/>
        <v>1</v>
      </c>
      <c r="O31" s="155">
        <f t="shared" si="6"/>
        <v>26.25</v>
      </c>
      <c r="P31" s="154"/>
      <c r="Q31" s="154"/>
      <c r="R31" s="47">
        <f t="shared" si="7"/>
        <v>92.293</v>
      </c>
      <c r="S31" s="47">
        <f t="shared" si="8"/>
        <v>86.25</v>
      </c>
      <c r="T31" s="62">
        <f t="shared" si="9"/>
        <v>86.25</v>
      </c>
      <c r="U31" s="62">
        <f t="shared" si="10"/>
        <v>86.25</v>
      </c>
      <c r="V31" s="102"/>
      <c r="W31" s="61">
        <f t="shared" si="11"/>
        <v>13.015</v>
      </c>
      <c r="X31" s="61"/>
      <c r="Y31" s="89">
        <f t="shared" si="12"/>
        <v>13</v>
      </c>
      <c r="Z31" s="49"/>
      <c r="AA31" s="89" t="str">
        <f t="shared" si="15"/>
        <v>金森　圭太郎</v>
      </c>
      <c r="AB31" s="60" t="str">
        <f t="shared" si="16"/>
        <v>立教大学</v>
      </c>
      <c r="AC31" s="59">
        <f t="shared" si="13"/>
        <v>1</v>
      </c>
      <c r="AD31" s="48">
        <f t="shared" si="14"/>
        <v>26.25</v>
      </c>
      <c r="AF31" s="111"/>
    </row>
    <row r="32" spans="1:32" ht="14.25" customHeight="1" thickBot="1">
      <c r="A32" s="239">
        <v>6</v>
      </c>
      <c r="B32" s="161" t="s">
        <v>32</v>
      </c>
      <c r="C32" s="162"/>
      <c r="D32" s="163" t="s">
        <v>85</v>
      </c>
      <c r="E32" s="164">
        <f t="shared" si="4"/>
        <v>24</v>
      </c>
      <c r="F32" s="275">
        <v>1</v>
      </c>
      <c r="G32" s="276">
        <v>36.586</v>
      </c>
      <c r="H32" s="275"/>
      <c r="I32" s="165"/>
      <c r="J32" s="221"/>
      <c r="K32" s="222"/>
      <c r="L32" s="162"/>
      <c r="M32" s="162" t="s">
        <v>97</v>
      </c>
      <c r="N32" s="154">
        <f t="shared" si="5"/>
        <v>1</v>
      </c>
      <c r="O32" s="155">
        <f t="shared" si="6"/>
        <v>36.586</v>
      </c>
      <c r="P32" s="154"/>
      <c r="Q32" s="154"/>
      <c r="R32" s="90">
        <f t="shared" si="7"/>
        <v>96.586</v>
      </c>
      <c r="S32" s="90">
        <f t="shared" si="8"/>
      </c>
      <c r="T32" s="91">
        <f t="shared" si="9"/>
        <v>96.586</v>
      </c>
      <c r="U32" s="91">
        <f t="shared" si="10"/>
        <v>96.586</v>
      </c>
      <c r="V32" s="91"/>
      <c r="W32" s="89">
        <f t="shared" si="11"/>
        <v>24.016</v>
      </c>
      <c r="X32" s="89"/>
      <c r="Y32" s="89">
        <f t="shared" si="12"/>
        <v>24</v>
      </c>
      <c r="Z32" s="90"/>
      <c r="AA32" s="89" t="str">
        <f t="shared" si="15"/>
        <v>内田　涼介</v>
      </c>
      <c r="AB32" s="60" t="str">
        <f t="shared" si="16"/>
        <v>千葉工業大学</v>
      </c>
      <c r="AC32" s="88">
        <f t="shared" si="13"/>
        <v>1</v>
      </c>
      <c r="AD32" s="87">
        <f t="shared" si="14"/>
        <v>36.586</v>
      </c>
      <c r="AF32" s="111"/>
    </row>
    <row r="33" spans="1:32" ht="14.25" customHeight="1" thickBot="1">
      <c r="A33" s="239"/>
      <c r="B33" s="161" t="s">
        <v>32</v>
      </c>
      <c r="C33" s="166">
        <f>IF($V33="",IF(COUNTA(#REF!)=3,"",""),RANK($V33,$V$17:$V$61,1))</f>
      </c>
      <c r="D33" s="163" t="s">
        <v>86</v>
      </c>
      <c r="E33" s="164">
        <f t="shared" si="4"/>
      </c>
      <c r="F33" s="162"/>
      <c r="G33" s="165"/>
      <c r="H33" s="162"/>
      <c r="I33" s="165" t="s">
        <v>97</v>
      </c>
      <c r="J33" s="162"/>
      <c r="K33" s="165"/>
      <c r="L33" s="162"/>
      <c r="M33" s="162" t="s">
        <v>97</v>
      </c>
      <c r="N33" s="154">
        <f t="shared" si="5"/>
      </c>
      <c r="O33" s="155">
        <f t="shared" si="6"/>
      </c>
      <c r="P33" s="154">
        <f>IF(COUNT($O32:$O34)=3,INT((SUM($N32:$N34)*60+SUM($O32:$O34))/60),"")</f>
      </c>
      <c r="Q33" s="154">
        <f>IF(COUNT($O32:$O34)=3,((SUM($N32:$N34)*60+SUM($O32:$O34)))-$P33*60,"")</f>
      </c>
      <c r="R33" s="49">
        <f t="shared" si="7"/>
      </c>
      <c r="S33" s="49">
        <f t="shared" si="8"/>
      </c>
      <c r="T33" s="58">
        <f t="shared" si="9"/>
      </c>
      <c r="U33" s="58">
        <f t="shared" si="10"/>
      </c>
      <c r="V33" s="58">
        <f>IF($Q33="","",$P33*60+$Q33)</f>
      </c>
      <c r="W33" s="76">
        <f t="shared" si="11"/>
      </c>
      <c r="X33" s="49">
        <f>IF($C33="","",$C33+(ROW(C33)-17)*0.001)</f>
      </c>
      <c r="Y33" s="89">
        <f t="shared" si="12"/>
      </c>
      <c r="Z33" s="49">
        <f>$C33</f>
      </c>
      <c r="AA33" s="89" t="str">
        <f t="shared" si="15"/>
        <v>千賀　真一郎</v>
      </c>
      <c r="AB33" s="60" t="str">
        <f t="shared" si="16"/>
        <v>千葉工業大学</v>
      </c>
      <c r="AC33" s="75">
        <f t="shared" si="13"/>
      </c>
      <c r="AD33" s="50">
        <f t="shared" si="14"/>
      </c>
      <c r="AF33" s="57"/>
    </row>
    <row r="34" spans="1:32" ht="14.25" customHeight="1" thickBot="1">
      <c r="A34" s="239"/>
      <c r="B34" s="161" t="s">
        <v>32</v>
      </c>
      <c r="C34" s="166"/>
      <c r="D34" s="163" t="s">
        <v>87</v>
      </c>
      <c r="E34" s="164">
        <f t="shared" si="4"/>
      </c>
      <c r="F34" s="162"/>
      <c r="G34" s="165"/>
      <c r="H34" s="162"/>
      <c r="I34" s="165" t="s">
        <v>97</v>
      </c>
      <c r="J34" s="162"/>
      <c r="K34" s="165"/>
      <c r="L34" s="162"/>
      <c r="M34" s="162" t="s">
        <v>97</v>
      </c>
      <c r="N34" s="154">
        <f t="shared" si="5"/>
      </c>
      <c r="O34" s="155">
        <f t="shared" si="6"/>
      </c>
      <c r="P34" s="154"/>
      <c r="Q34" s="154"/>
      <c r="R34" s="47">
        <f t="shared" si="7"/>
      </c>
      <c r="S34" s="47">
        <f t="shared" si="8"/>
      </c>
      <c r="T34" s="62">
        <f t="shared" si="9"/>
      </c>
      <c r="U34" s="62">
        <f t="shared" si="10"/>
      </c>
      <c r="V34" s="62"/>
      <c r="W34" s="61">
        <f t="shared" si="11"/>
      </c>
      <c r="X34" s="61"/>
      <c r="Y34" s="89">
        <f t="shared" si="12"/>
      </c>
      <c r="Z34" s="49"/>
      <c r="AA34" s="89" t="str">
        <f t="shared" si="15"/>
        <v>岡山　優佑</v>
      </c>
      <c r="AB34" s="60" t="str">
        <f t="shared" si="16"/>
        <v>千葉工業大学</v>
      </c>
      <c r="AC34" s="59">
        <f t="shared" si="13"/>
      </c>
      <c r="AD34" s="48">
        <f t="shared" si="14"/>
      </c>
      <c r="AF34" s="56"/>
    </row>
    <row r="35" spans="1:32" ht="14.25" customHeight="1" thickBot="1">
      <c r="A35" s="227">
        <v>7</v>
      </c>
      <c r="B35" s="147" t="s">
        <v>49</v>
      </c>
      <c r="C35" s="143"/>
      <c r="D35" s="148" t="s">
        <v>83</v>
      </c>
      <c r="E35" s="149">
        <f t="shared" si="4"/>
        <v>7</v>
      </c>
      <c r="F35" s="150">
        <v>1</v>
      </c>
      <c r="G35" s="151">
        <v>28.684</v>
      </c>
      <c r="H35" s="150"/>
      <c r="I35" s="151"/>
      <c r="J35" s="150">
        <v>1</v>
      </c>
      <c r="K35" s="151">
        <v>23.639</v>
      </c>
      <c r="L35" s="150"/>
      <c r="M35" s="150"/>
      <c r="N35" s="149">
        <f t="shared" si="5"/>
        <v>1</v>
      </c>
      <c r="O35" s="152">
        <f t="shared" si="6"/>
        <v>23.638999999999996</v>
      </c>
      <c r="P35" s="143"/>
      <c r="Q35" s="143"/>
      <c r="R35" s="90">
        <f t="shared" si="7"/>
        <v>88.684</v>
      </c>
      <c r="S35" s="90">
        <f t="shared" si="8"/>
        <v>83.639</v>
      </c>
      <c r="T35" s="91">
        <f t="shared" si="9"/>
        <v>83.639</v>
      </c>
      <c r="U35" s="91">
        <f t="shared" si="10"/>
        <v>83.639</v>
      </c>
      <c r="V35" s="107"/>
      <c r="W35" s="89">
        <f t="shared" si="11"/>
        <v>7.019</v>
      </c>
      <c r="X35" s="89"/>
      <c r="Y35" s="89">
        <f t="shared" si="12"/>
        <v>7</v>
      </c>
      <c r="Z35" s="90"/>
      <c r="AA35" s="89" t="str">
        <f t="shared" si="15"/>
        <v>池田　卓彌</v>
      </c>
      <c r="AB35" s="60" t="str">
        <f t="shared" si="16"/>
        <v>東京大学</v>
      </c>
      <c r="AC35" s="88">
        <f t="shared" si="13"/>
        <v>1</v>
      </c>
      <c r="AD35" s="87">
        <f t="shared" si="14"/>
        <v>23.638999999999996</v>
      </c>
      <c r="AF35" s="56"/>
    </row>
    <row r="36" spans="1:32" ht="14.25" customHeight="1" thickBot="1">
      <c r="A36" s="227"/>
      <c r="B36" s="147" t="s">
        <v>49</v>
      </c>
      <c r="C36" s="153">
        <f>IF($V36="",IF(COUNTA(#REF!)=3,"",""),RANK($V36,$V$17:$V$61,1))</f>
        <v>8</v>
      </c>
      <c r="D36" s="148" t="s">
        <v>84</v>
      </c>
      <c r="E36" s="149">
        <f t="shared" si="4"/>
        <v>25</v>
      </c>
      <c r="F36" s="150">
        <v>2</v>
      </c>
      <c r="G36" s="151">
        <v>20.054</v>
      </c>
      <c r="H36" s="150"/>
      <c r="I36" s="151"/>
      <c r="J36" s="162"/>
      <c r="K36" s="165"/>
      <c r="L36" s="150"/>
      <c r="M36" s="150" t="s">
        <v>98</v>
      </c>
      <c r="N36" s="154">
        <f t="shared" si="5"/>
        <v>2</v>
      </c>
      <c r="O36" s="155">
        <f t="shared" si="6"/>
        <v>20.054000000000002</v>
      </c>
      <c r="P36" s="154">
        <f>IF(COUNT($O35:$O37)=3,INT((SUM($N35:$N37)*60+SUM($O35:$O37))/60),"")</f>
        <v>5</v>
      </c>
      <c r="Q36" s="154">
        <f>IF(COUNT($O35:$O37)=3,((SUM($N35:$N37)*60+SUM($O35:$O37)))-$P36*60,"")</f>
        <v>10.964999999999975</v>
      </c>
      <c r="R36" s="49">
        <f t="shared" si="7"/>
        <v>140.054</v>
      </c>
      <c r="S36" s="49">
        <f t="shared" si="8"/>
      </c>
      <c r="T36" s="58">
        <f t="shared" si="9"/>
        <v>140.054</v>
      </c>
      <c r="U36" s="58">
        <f t="shared" si="10"/>
        <v>140.054</v>
      </c>
      <c r="V36" s="105">
        <f>IF($Q36="","",$P36*60+$Q36)</f>
        <v>310.965</v>
      </c>
      <c r="W36" s="76">
        <f t="shared" si="11"/>
        <v>25.02</v>
      </c>
      <c r="X36" s="49">
        <f>IF($C36="","",$C36+(ROW(C36)-17)*0.001)</f>
        <v>8.019</v>
      </c>
      <c r="Y36" s="89">
        <f t="shared" si="12"/>
        <v>25</v>
      </c>
      <c r="Z36" s="49">
        <f>$C36</f>
        <v>8</v>
      </c>
      <c r="AA36" s="89" t="str">
        <f t="shared" si="15"/>
        <v>柚木　泰寛</v>
      </c>
      <c r="AB36" s="60" t="str">
        <f t="shared" si="16"/>
        <v>東京大学</v>
      </c>
      <c r="AC36" s="75">
        <f t="shared" si="13"/>
        <v>2</v>
      </c>
      <c r="AD36" s="50">
        <f t="shared" si="14"/>
        <v>20.054000000000002</v>
      </c>
      <c r="AF36" s="57"/>
    </row>
    <row r="37" spans="1:32" ht="14.25" customHeight="1" thickBot="1">
      <c r="A37" s="227"/>
      <c r="B37" s="147" t="s">
        <v>49</v>
      </c>
      <c r="C37" s="153"/>
      <c r="D37" s="148" t="s">
        <v>88</v>
      </c>
      <c r="E37" s="149">
        <f t="shared" si="4"/>
        <v>15</v>
      </c>
      <c r="F37" s="150">
        <v>1</v>
      </c>
      <c r="G37" s="151">
        <v>27.272</v>
      </c>
      <c r="H37" s="150"/>
      <c r="I37" s="151"/>
      <c r="J37" s="162"/>
      <c r="K37" s="165"/>
      <c r="L37" s="150"/>
      <c r="M37" s="150" t="s">
        <v>98</v>
      </c>
      <c r="N37" s="154">
        <f t="shared" si="5"/>
        <v>1</v>
      </c>
      <c r="O37" s="155">
        <f t="shared" si="6"/>
        <v>27.27199999999999</v>
      </c>
      <c r="P37" s="154"/>
      <c r="Q37" s="154"/>
      <c r="R37" s="47">
        <f t="shared" si="7"/>
        <v>87.27199999999999</v>
      </c>
      <c r="S37" s="47">
        <f t="shared" si="8"/>
      </c>
      <c r="T37" s="62">
        <f t="shared" si="9"/>
        <v>87.27199999999999</v>
      </c>
      <c r="U37" s="62">
        <f t="shared" si="10"/>
        <v>87.27199999999999</v>
      </c>
      <c r="V37" s="102"/>
      <c r="W37" s="61">
        <f t="shared" si="11"/>
        <v>15.021</v>
      </c>
      <c r="X37" s="61"/>
      <c r="Y37" s="89">
        <f t="shared" si="12"/>
        <v>15</v>
      </c>
      <c r="Z37" s="49"/>
      <c r="AA37" s="89" t="str">
        <f t="shared" si="15"/>
        <v>岡田　朋也</v>
      </c>
      <c r="AB37" s="60" t="str">
        <f t="shared" si="16"/>
        <v>東京大学</v>
      </c>
      <c r="AC37" s="59">
        <f t="shared" si="13"/>
        <v>1</v>
      </c>
      <c r="AD37" s="48">
        <f t="shared" si="14"/>
        <v>27.27199999999999</v>
      </c>
      <c r="AF37" s="56"/>
    </row>
    <row r="38" spans="1:32" ht="14.25" customHeight="1" thickBot="1">
      <c r="A38" s="227">
        <v>8</v>
      </c>
      <c r="B38" s="147" t="s">
        <v>50</v>
      </c>
      <c r="C38" s="143"/>
      <c r="D38" s="148" t="s">
        <v>89</v>
      </c>
      <c r="E38" s="149">
        <f t="shared" si="4"/>
        <v>4</v>
      </c>
      <c r="F38" s="150">
        <v>1</v>
      </c>
      <c r="G38" s="151">
        <v>32.317</v>
      </c>
      <c r="H38" s="150"/>
      <c r="I38" s="151"/>
      <c r="J38" s="150">
        <v>1</v>
      </c>
      <c r="K38" s="151">
        <v>23.025</v>
      </c>
      <c r="L38" s="150"/>
      <c r="M38" s="150"/>
      <c r="N38" s="154">
        <f t="shared" si="5"/>
        <v>1</v>
      </c>
      <c r="O38" s="155">
        <f t="shared" si="6"/>
        <v>23.025000000000006</v>
      </c>
      <c r="P38" s="154"/>
      <c r="Q38" s="154"/>
      <c r="R38" s="90">
        <f t="shared" si="7"/>
        <v>92.31700000000001</v>
      </c>
      <c r="S38" s="90">
        <f t="shared" si="8"/>
        <v>83.025</v>
      </c>
      <c r="T38" s="91">
        <f t="shared" si="9"/>
        <v>83.025</v>
      </c>
      <c r="U38" s="91">
        <f t="shared" si="10"/>
        <v>83.025</v>
      </c>
      <c r="V38" s="91"/>
      <c r="W38" s="89">
        <f t="shared" si="11"/>
        <v>4.022</v>
      </c>
      <c r="X38" s="89"/>
      <c r="Y38" s="89">
        <f t="shared" si="12"/>
        <v>4</v>
      </c>
      <c r="Z38" s="90"/>
      <c r="AA38" s="89" t="str">
        <f t="shared" si="15"/>
        <v>長谷川　将吾</v>
      </c>
      <c r="AB38" s="60" t="str">
        <f t="shared" si="16"/>
        <v>青山学院大学</v>
      </c>
      <c r="AC38" s="88">
        <f t="shared" si="13"/>
        <v>1</v>
      </c>
      <c r="AD38" s="87">
        <f t="shared" si="14"/>
        <v>23.025000000000006</v>
      </c>
      <c r="AF38" s="56"/>
    </row>
    <row r="39" spans="1:32" ht="14.25" customHeight="1" thickBot="1">
      <c r="A39" s="227"/>
      <c r="B39" s="147" t="s">
        <v>50</v>
      </c>
      <c r="C39" s="153">
        <f>IF($V39="",IF(COUNTA(#REF!)=3,"",""),RANK($V39,$V$17:$V$61,1))</f>
        <v>4</v>
      </c>
      <c r="D39" s="148" t="s">
        <v>90</v>
      </c>
      <c r="E39" s="149">
        <f t="shared" si="4"/>
        <v>17</v>
      </c>
      <c r="F39" s="150">
        <v>1</v>
      </c>
      <c r="G39" s="151">
        <v>33.325</v>
      </c>
      <c r="H39" s="150"/>
      <c r="I39" s="151"/>
      <c r="J39" s="150">
        <v>1</v>
      </c>
      <c r="K39" s="151">
        <v>29.649</v>
      </c>
      <c r="L39" s="150"/>
      <c r="M39" s="150"/>
      <c r="N39" s="154">
        <f t="shared" si="5"/>
        <v>1</v>
      </c>
      <c r="O39" s="155">
        <f t="shared" si="6"/>
        <v>29.649</v>
      </c>
      <c r="P39" s="154">
        <f>IF(COUNT($O38:$O40)=3,INT((SUM($N38:$N40)*60+SUM($O38:$O40))/60),"")</f>
        <v>4</v>
      </c>
      <c r="Q39" s="154">
        <f>IF(COUNT($O38:$O40)=3,((SUM($N38:$N40)*60+SUM($O38:$O40)))-$P39*60,"")</f>
        <v>16.011000000000024</v>
      </c>
      <c r="R39" s="49">
        <f t="shared" si="7"/>
        <v>93.325</v>
      </c>
      <c r="S39" s="49">
        <f t="shared" si="8"/>
        <v>89.649</v>
      </c>
      <c r="T39" s="58">
        <f t="shared" si="9"/>
        <v>89.649</v>
      </c>
      <c r="U39" s="58">
        <f t="shared" si="10"/>
        <v>89.649</v>
      </c>
      <c r="V39" s="58">
        <f>IF($Q39="","",$P39*60+$Q39)</f>
        <v>256.011</v>
      </c>
      <c r="W39" s="76">
        <f t="shared" si="11"/>
        <v>17.023</v>
      </c>
      <c r="X39" s="49">
        <f>IF($C39="","",$C39+(ROW(C39)-17)*0.001)</f>
        <v>4.022</v>
      </c>
      <c r="Y39" s="89">
        <f t="shared" si="12"/>
        <v>17</v>
      </c>
      <c r="Z39" s="49">
        <f>$C39</f>
        <v>4</v>
      </c>
      <c r="AA39" s="89" t="str">
        <f t="shared" si="15"/>
        <v>木多　祐太</v>
      </c>
      <c r="AB39" s="60" t="str">
        <f t="shared" si="16"/>
        <v>青山学院大学</v>
      </c>
      <c r="AC39" s="75">
        <f t="shared" si="13"/>
        <v>1</v>
      </c>
      <c r="AD39" s="50">
        <f t="shared" si="14"/>
        <v>29.649</v>
      </c>
      <c r="AF39" s="57"/>
    </row>
    <row r="40" spans="1:32" ht="14.25" customHeight="1" thickBot="1">
      <c r="A40" s="227"/>
      <c r="B40" s="147" t="s">
        <v>50</v>
      </c>
      <c r="C40" s="153"/>
      <c r="D40" s="148" t="s">
        <v>91</v>
      </c>
      <c r="E40" s="149">
        <f t="shared" si="4"/>
        <v>6</v>
      </c>
      <c r="F40" s="150">
        <v>1</v>
      </c>
      <c r="G40" s="151">
        <v>25.27</v>
      </c>
      <c r="H40" s="150"/>
      <c r="I40" s="151"/>
      <c r="J40" s="150">
        <v>1</v>
      </c>
      <c r="K40" s="151">
        <v>23.337</v>
      </c>
      <c r="L40" s="150"/>
      <c r="M40" s="150"/>
      <c r="N40" s="154">
        <f t="shared" si="5"/>
        <v>1</v>
      </c>
      <c r="O40" s="155">
        <f t="shared" si="6"/>
        <v>23.337000000000003</v>
      </c>
      <c r="P40" s="154"/>
      <c r="Q40" s="154"/>
      <c r="R40" s="47">
        <f t="shared" si="7"/>
        <v>85.27</v>
      </c>
      <c r="S40" s="47">
        <f t="shared" si="8"/>
        <v>83.337</v>
      </c>
      <c r="T40" s="62">
        <f t="shared" si="9"/>
        <v>83.337</v>
      </c>
      <c r="U40" s="62">
        <f t="shared" si="10"/>
        <v>83.337</v>
      </c>
      <c r="V40" s="62"/>
      <c r="W40" s="61">
        <f t="shared" si="11"/>
        <v>6.024</v>
      </c>
      <c r="X40" s="61"/>
      <c r="Y40" s="89">
        <f t="shared" si="12"/>
        <v>6</v>
      </c>
      <c r="Z40" s="49"/>
      <c r="AA40" s="89" t="str">
        <f t="shared" si="15"/>
        <v>山口　僚太</v>
      </c>
      <c r="AB40" s="60" t="str">
        <f t="shared" si="16"/>
        <v>青山学院大学</v>
      </c>
      <c r="AC40" s="59">
        <f t="shared" si="13"/>
        <v>1</v>
      </c>
      <c r="AD40" s="48">
        <f t="shared" si="14"/>
        <v>23.337000000000003</v>
      </c>
      <c r="AF40" s="56"/>
    </row>
    <row r="41" spans="1:32" ht="14.25" customHeight="1" thickBot="1">
      <c r="A41" s="227">
        <v>9</v>
      </c>
      <c r="B41" s="147" t="s">
        <v>51</v>
      </c>
      <c r="C41" s="153"/>
      <c r="D41" s="148" t="s">
        <v>92</v>
      </c>
      <c r="E41" s="149">
        <f t="shared" si="4"/>
        <v>5</v>
      </c>
      <c r="F41" s="150">
        <v>1</v>
      </c>
      <c r="G41" s="151">
        <v>27.304</v>
      </c>
      <c r="H41" s="150"/>
      <c r="I41" s="151"/>
      <c r="J41" s="150">
        <v>1</v>
      </c>
      <c r="K41" s="151">
        <v>23.049</v>
      </c>
      <c r="L41" s="150"/>
      <c r="M41" s="150"/>
      <c r="N41" s="154">
        <f t="shared" si="5"/>
        <v>1</v>
      </c>
      <c r="O41" s="155">
        <f t="shared" si="6"/>
        <v>23.049000000000007</v>
      </c>
      <c r="P41" s="154"/>
      <c r="Q41" s="154"/>
      <c r="R41" s="90">
        <f t="shared" si="7"/>
        <v>87.304</v>
      </c>
      <c r="S41" s="90">
        <f t="shared" si="8"/>
        <v>83.049</v>
      </c>
      <c r="T41" s="91">
        <f t="shared" si="9"/>
        <v>83.049</v>
      </c>
      <c r="U41" s="91">
        <f t="shared" si="10"/>
        <v>83.049</v>
      </c>
      <c r="V41" s="58"/>
      <c r="W41" s="89">
        <f t="shared" si="11"/>
        <v>5.025</v>
      </c>
      <c r="X41" s="76"/>
      <c r="Y41" s="89">
        <f t="shared" si="12"/>
        <v>5</v>
      </c>
      <c r="Z41" s="49"/>
      <c r="AA41" s="89" t="str">
        <f t="shared" si="15"/>
        <v>神林　崇亮</v>
      </c>
      <c r="AB41" s="60" t="str">
        <f t="shared" si="16"/>
        <v>早稲田大学</v>
      </c>
      <c r="AC41" s="88">
        <f t="shared" si="13"/>
        <v>1</v>
      </c>
      <c r="AD41" s="87">
        <f t="shared" si="14"/>
        <v>23.049000000000007</v>
      </c>
      <c r="AF41" s="56"/>
    </row>
    <row r="42" spans="1:32" ht="14.25" customHeight="1" thickBot="1">
      <c r="A42" s="227"/>
      <c r="B42" s="147" t="s">
        <v>51</v>
      </c>
      <c r="C42" s="153">
        <f>IF($V42="",IF(COUNTA(#REF!)=3,"",""),RANK($V42,$V$17:$V$61,1))</f>
        <v>1</v>
      </c>
      <c r="D42" s="148" t="s">
        <v>93</v>
      </c>
      <c r="E42" s="149">
        <f t="shared" si="4"/>
        <v>8</v>
      </c>
      <c r="F42" s="150">
        <v>1</v>
      </c>
      <c r="G42" s="151">
        <v>23.766</v>
      </c>
      <c r="H42" s="150"/>
      <c r="I42" s="151"/>
      <c r="J42" s="150">
        <v>1</v>
      </c>
      <c r="K42" s="151">
        <v>22.112</v>
      </c>
      <c r="L42" s="150">
        <v>3</v>
      </c>
      <c r="M42" s="150"/>
      <c r="N42" s="154">
        <f t="shared" si="5"/>
        <v>1</v>
      </c>
      <c r="O42" s="155">
        <f t="shared" si="6"/>
        <v>23.76599999999999</v>
      </c>
      <c r="P42" s="154">
        <f>IF(COUNT($O41:$O43)=3,INT((SUM($N41:$N43)*60+SUM($O41:$O43))/60),"")</f>
        <v>4</v>
      </c>
      <c r="Q42" s="154">
        <f>IF(COUNT($O41:$O43)=3,((SUM($N41:$N43)*60+SUM($O41:$O43)))-$P42*60,"")</f>
        <v>6.096000000000004</v>
      </c>
      <c r="R42" s="49">
        <f t="shared" si="7"/>
        <v>83.76599999999999</v>
      </c>
      <c r="S42" s="49">
        <f t="shared" si="8"/>
        <v>97.112</v>
      </c>
      <c r="T42" s="58">
        <f t="shared" si="9"/>
        <v>83.76599999999999</v>
      </c>
      <c r="U42" s="58">
        <f t="shared" si="10"/>
        <v>83.767</v>
      </c>
      <c r="V42" s="58">
        <f>IF($Q42="","",$P42*60+$Q42)</f>
        <v>246.096</v>
      </c>
      <c r="W42" s="76">
        <f t="shared" si="11"/>
        <v>8.026</v>
      </c>
      <c r="X42" s="49">
        <f>IF($C42="","",$C42+(ROW(C42)-17)*0.001)</f>
        <v>1.025</v>
      </c>
      <c r="Y42" s="89">
        <f t="shared" si="12"/>
        <v>8</v>
      </c>
      <c r="Z42" s="49">
        <f>$C42</f>
        <v>1</v>
      </c>
      <c r="AA42" s="89" t="str">
        <f t="shared" si="15"/>
        <v>中野　龍太</v>
      </c>
      <c r="AB42" s="60" t="str">
        <f t="shared" si="16"/>
        <v>早稲田大学</v>
      </c>
      <c r="AC42" s="75">
        <f t="shared" si="13"/>
        <v>1</v>
      </c>
      <c r="AD42" s="50">
        <f t="shared" si="14"/>
        <v>23.76599999999999</v>
      </c>
      <c r="AF42" s="56"/>
    </row>
    <row r="43" spans="1:32" ht="13.5" customHeight="1" thickBot="1">
      <c r="A43" s="227"/>
      <c r="B43" s="147" t="s">
        <v>51</v>
      </c>
      <c r="C43" s="153"/>
      <c r="D43" s="148" t="s">
        <v>94</v>
      </c>
      <c r="E43" s="149">
        <f t="shared" si="4"/>
        <v>1</v>
      </c>
      <c r="F43" s="150">
        <v>1</v>
      </c>
      <c r="G43" s="151">
        <v>20.62</v>
      </c>
      <c r="H43" s="150">
        <v>1</v>
      </c>
      <c r="I43" s="151"/>
      <c r="J43" s="150">
        <v>1</v>
      </c>
      <c r="K43" s="151">
        <v>19.281</v>
      </c>
      <c r="L43" s="150"/>
      <c r="M43" s="150"/>
      <c r="N43" s="154">
        <f t="shared" si="5"/>
        <v>1</v>
      </c>
      <c r="O43" s="155">
        <f t="shared" si="6"/>
        <v>19.281000000000006</v>
      </c>
      <c r="P43" s="154"/>
      <c r="Q43" s="154"/>
      <c r="R43" s="47">
        <f t="shared" si="7"/>
        <v>85.62</v>
      </c>
      <c r="S43" s="47">
        <f t="shared" si="8"/>
        <v>79.281</v>
      </c>
      <c r="T43" s="62">
        <f t="shared" si="9"/>
        <v>79.281</v>
      </c>
      <c r="U43" s="62">
        <f t="shared" si="10"/>
        <v>79.281</v>
      </c>
      <c r="V43" s="58"/>
      <c r="W43" s="61">
        <f t="shared" si="11"/>
        <v>1.027</v>
      </c>
      <c r="X43" s="76"/>
      <c r="Y43" s="89">
        <f t="shared" si="12"/>
        <v>1</v>
      </c>
      <c r="Z43" s="49"/>
      <c r="AA43" s="89" t="str">
        <f t="shared" si="15"/>
        <v>最上　佳樹</v>
      </c>
      <c r="AB43" s="60" t="str">
        <f t="shared" si="16"/>
        <v>早稲田大学</v>
      </c>
      <c r="AC43" s="59">
        <f t="shared" si="13"/>
        <v>1</v>
      </c>
      <c r="AD43" s="48">
        <f t="shared" si="14"/>
        <v>19.281000000000006</v>
      </c>
      <c r="AF43" s="56"/>
    </row>
    <row r="44" spans="1:32" ht="2.25" customHeight="1" hidden="1" thickBot="1">
      <c r="A44" s="242">
        <v>19</v>
      </c>
      <c r="B44" s="244"/>
      <c r="C44" s="120"/>
      <c r="D44" s="139"/>
      <c r="E44" s="140">
        <f t="shared" si="4"/>
      </c>
      <c r="F44" s="117"/>
      <c r="G44" s="118"/>
      <c r="H44" s="115"/>
      <c r="I44" s="141"/>
      <c r="J44" s="117"/>
      <c r="K44" s="116"/>
      <c r="L44" s="115"/>
      <c r="M44" s="115"/>
      <c r="N44" s="78">
        <f aca="true" t="shared" si="17" ref="N44:N53">IF(U44="","",TRUNC(U44/60))</f>
      </c>
      <c r="O44" s="142">
        <f aca="true" t="shared" si="18" ref="O44:O53">IF(T44="","",T44-N44*60)</f>
      </c>
      <c r="P44" s="113"/>
      <c r="Q44" s="77"/>
      <c r="R44" s="88">
        <f aca="true" t="shared" si="19" ref="R44:R53">IF($G44="","",$F44*60+$G44+$H44*5+$I44)</f>
      </c>
      <c r="S44" s="90">
        <f aca="true" t="shared" si="20" ref="S44:S53">IF($K44="","",$J44*60+$K44+$L44*5+$M44)</f>
      </c>
      <c r="T44" s="91">
        <f aca="true" t="shared" si="21" ref="T44:T53">IF($S44="",$R44,IF($R44&lt;$S44,$R44,$S44))</f>
      </c>
      <c r="U44" s="91">
        <f aca="true" t="shared" si="22" ref="U44:U53">IF($S44="",$R44,IF($R44&lt;$S44,$R44+0.001,$S44))</f>
      </c>
      <c r="V44" s="91"/>
      <c r="W44" s="89">
        <f aca="true" t="shared" si="23" ref="W44:W53">IF($E44="","",$E44+(ROW(E44)-16)*0.001)</f>
      </c>
      <c r="X44" s="89"/>
      <c r="Y44" s="89">
        <f aca="true" t="shared" si="24" ref="Y44:Y53">$E44</f>
      </c>
      <c r="Z44" s="90"/>
      <c r="AA44" s="89">
        <f aca="true" t="shared" si="25" ref="AA44:AA53">IF($D44="","",$D44)</f>
      </c>
      <c r="AB44" s="60">
        <f>IF(B$44="","",B$44)</f>
      </c>
      <c r="AC44" s="88">
        <f aca="true" t="shared" si="26" ref="AC44:AC53">$N44</f>
      </c>
      <c r="AD44" s="87">
        <f aca="true" t="shared" si="27" ref="AD44:AD53">$O44</f>
      </c>
      <c r="AF44" s="56"/>
    </row>
    <row r="45" spans="1:32" ht="51" customHeight="1" hidden="1" thickBot="1">
      <c r="A45" s="242"/>
      <c r="B45" s="244"/>
      <c r="C45" s="86">
        <f>IF($V45="",IF(COUNTA(#REF!)=3,"",""),RANK($V45,$V$17:$V$61,1))</f>
      </c>
      <c r="D45" s="45"/>
      <c r="E45" s="72">
        <f t="shared" si="4"/>
      </c>
      <c r="F45" s="83"/>
      <c r="G45" s="85"/>
      <c r="H45" s="81"/>
      <c r="I45" s="84"/>
      <c r="J45" s="83"/>
      <c r="K45" s="82"/>
      <c r="L45" s="81"/>
      <c r="M45" s="81"/>
      <c r="N45" s="80">
        <f t="shared" si="17"/>
      </c>
      <c r="O45" s="79">
        <f t="shared" si="18"/>
      </c>
      <c r="P45" s="78">
        <f>IF(COUNT($O44:$O46)=3,INT((SUM($N44:$N46)*60+SUM($O44:$O46))/60),"")</f>
      </c>
      <c r="Q45" s="77">
        <f>IF(COUNT($O44:$O46)=3,((SUM($N44:$N46)*60+SUM($O44:$O46)))-$P45*60,"")</f>
      </c>
      <c r="R45" s="75">
        <f t="shared" si="19"/>
      </c>
      <c r="S45" s="49">
        <f t="shared" si="20"/>
      </c>
      <c r="T45" s="58">
        <f t="shared" si="21"/>
      </c>
      <c r="U45" s="58">
        <f t="shared" si="22"/>
      </c>
      <c r="V45" s="58">
        <f>IF($Q45="","",$P45*60+$Q45)</f>
      </c>
      <c r="W45" s="76">
        <f t="shared" si="23"/>
      </c>
      <c r="X45" s="49">
        <f>IF($C45="","",$C45+(ROW(C45)-17)*0.001)</f>
      </c>
      <c r="Y45" s="76">
        <f t="shared" si="24"/>
      </c>
      <c r="Z45" s="49">
        <f>$C45</f>
      </c>
      <c r="AA45" s="76">
        <f t="shared" si="25"/>
      </c>
      <c r="AB45" s="60">
        <f>IF(B$44="","",B$44)</f>
      </c>
      <c r="AC45" s="75">
        <f t="shared" si="26"/>
      </c>
      <c r="AD45" s="50">
        <f t="shared" si="27"/>
      </c>
      <c r="AF45" s="57"/>
    </row>
    <row r="46" spans="1:32" ht="58.5" customHeight="1" hidden="1" thickBot="1">
      <c r="A46" s="243"/>
      <c r="B46" s="43"/>
      <c r="C46" s="73"/>
      <c r="D46" s="45"/>
      <c r="E46" s="72">
        <f t="shared" si="4"/>
      </c>
      <c r="F46" s="69"/>
      <c r="G46" s="71"/>
      <c r="H46" s="67"/>
      <c r="I46" s="70"/>
      <c r="J46" s="69"/>
      <c r="K46" s="68"/>
      <c r="L46" s="67"/>
      <c r="M46" s="67"/>
      <c r="N46" s="66">
        <f t="shared" si="17"/>
      </c>
      <c r="O46" s="65">
        <f t="shared" si="18"/>
      </c>
      <c r="P46" s="64"/>
      <c r="Q46" s="63"/>
      <c r="R46" s="59">
        <f t="shared" si="19"/>
      </c>
      <c r="S46" s="47">
        <f t="shared" si="20"/>
      </c>
      <c r="T46" s="62">
        <f t="shared" si="21"/>
      </c>
      <c r="U46" s="62">
        <f t="shared" si="22"/>
      </c>
      <c r="V46" s="62"/>
      <c r="W46" s="61">
        <f t="shared" si="23"/>
      </c>
      <c r="X46" s="61"/>
      <c r="Y46" s="61">
        <f t="shared" si="24"/>
      </c>
      <c r="Z46" s="49"/>
      <c r="AA46" s="61">
        <f t="shared" si="25"/>
      </c>
      <c r="AB46" s="60">
        <f>IF(B$44="","",B$44)</f>
      </c>
      <c r="AC46" s="59">
        <f t="shared" si="26"/>
      </c>
      <c r="AD46" s="48">
        <f t="shared" si="27"/>
      </c>
      <c r="AF46" s="56"/>
    </row>
    <row r="47" spans="1:32" ht="48.75" customHeight="1" hidden="1" thickBot="1">
      <c r="A47" s="241">
        <v>20</v>
      </c>
      <c r="B47" s="244"/>
      <c r="C47" s="101"/>
      <c r="D47" s="45"/>
      <c r="E47" s="72">
        <f t="shared" si="4"/>
      </c>
      <c r="F47" s="98"/>
      <c r="G47" s="100"/>
      <c r="H47" s="96"/>
      <c r="I47" s="100"/>
      <c r="J47" s="98"/>
      <c r="K47" s="97"/>
      <c r="L47" s="96"/>
      <c r="M47" s="46"/>
      <c r="N47" s="110">
        <f t="shared" si="17"/>
      </c>
      <c r="O47" s="109">
        <f t="shared" si="18"/>
      </c>
      <c r="P47" s="108"/>
      <c r="Q47" s="101"/>
      <c r="R47" s="88">
        <f t="shared" si="19"/>
      </c>
      <c r="S47" s="90">
        <f t="shared" si="20"/>
      </c>
      <c r="T47" s="91">
        <f t="shared" si="21"/>
      </c>
      <c r="U47" s="91">
        <f t="shared" si="22"/>
      </c>
      <c r="V47" s="107"/>
      <c r="W47" s="89">
        <f t="shared" si="23"/>
      </c>
      <c r="X47" s="89"/>
      <c r="Y47" s="89">
        <f t="shared" si="24"/>
      </c>
      <c r="Z47" s="90"/>
      <c r="AA47" s="89">
        <f t="shared" si="25"/>
      </c>
      <c r="AB47" s="60">
        <f>IF(B$47="","",B$47)</f>
      </c>
      <c r="AC47" s="88">
        <f t="shared" si="26"/>
      </c>
      <c r="AD47" s="87">
        <f t="shared" si="27"/>
      </c>
      <c r="AF47" s="56"/>
    </row>
    <row r="48" spans="1:32" ht="57" customHeight="1" hidden="1" thickBot="1">
      <c r="A48" s="242"/>
      <c r="B48" s="244"/>
      <c r="C48" s="86">
        <f>IF($V48="",IF(COUNTA(#REF!)=3,"",""),RANK($V48,$V$17:$V$61,1))</f>
      </c>
      <c r="D48" s="45"/>
      <c r="E48" s="72">
        <f t="shared" si="4"/>
      </c>
      <c r="F48" s="83"/>
      <c r="G48" s="85"/>
      <c r="H48" s="81"/>
      <c r="I48" s="85"/>
      <c r="J48" s="83"/>
      <c r="K48" s="82"/>
      <c r="L48" s="81"/>
      <c r="M48" s="106"/>
      <c r="N48" s="80">
        <f t="shared" si="17"/>
      </c>
      <c r="O48" s="79">
        <f t="shared" si="18"/>
      </c>
      <c r="P48" s="78">
        <f>IF(COUNT($O47:$O49)=3,INT((SUM($N47:$N49)*60+SUM($O47:$O49))/60),"")</f>
      </c>
      <c r="Q48" s="77">
        <f>IF(COUNT($O47:$O49)=3,((SUM($N47:$N49)*60+SUM($O47:$O49)))-$P48*60,"")</f>
      </c>
      <c r="R48" s="75">
        <f t="shared" si="19"/>
      </c>
      <c r="S48" s="49">
        <f t="shared" si="20"/>
      </c>
      <c r="T48" s="58">
        <f t="shared" si="21"/>
      </c>
      <c r="U48" s="58">
        <f t="shared" si="22"/>
      </c>
      <c r="V48" s="105">
        <f>IF($Q48="","",$P48*60+$Q48)</f>
      </c>
      <c r="W48" s="76">
        <f t="shared" si="23"/>
      </c>
      <c r="X48" s="49">
        <f>IF($C48="","",$C48+(ROW(C48)-17)*0.001)</f>
      </c>
      <c r="Y48" s="76">
        <f t="shared" si="24"/>
      </c>
      <c r="Z48" s="49">
        <f>$C48</f>
      </c>
      <c r="AA48" s="76">
        <f t="shared" si="25"/>
      </c>
      <c r="AB48" s="60">
        <f>IF(B$47="","",B$47)</f>
      </c>
      <c r="AC48" s="75">
        <f t="shared" si="26"/>
      </c>
      <c r="AD48" s="50">
        <f t="shared" si="27"/>
      </c>
      <c r="AF48" s="57"/>
    </row>
    <row r="49" spans="1:32" ht="3.75" customHeight="1" hidden="1" thickBot="1">
      <c r="A49" s="243"/>
      <c r="B49" s="43"/>
      <c r="C49" s="73"/>
      <c r="D49" s="45"/>
      <c r="E49" s="72">
        <f t="shared" si="4"/>
      </c>
      <c r="F49" s="69"/>
      <c r="G49" s="71"/>
      <c r="H49" s="67"/>
      <c r="I49" s="71"/>
      <c r="J49" s="69"/>
      <c r="K49" s="68"/>
      <c r="L49" s="67"/>
      <c r="M49" s="104"/>
      <c r="N49" s="103">
        <f t="shared" si="17"/>
      </c>
      <c r="O49" s="65">
        <f t="shared" si="18"/>
      </c>
      <c r="P49" s="64"/>
      <c r="Q49" s="63"/>
      <c r="R49" s="59">
        <f t="shared" si="19"/>
      </c>
      <c r="S49" s="47">
        <f t="shared" si="20"/>
      </c>
      <c r="T49" s="62">
        <f t="shared" si="21"/>
      </c>
      <c r="U49" s="62">
        <f t="shared" si="22"/>
      </c>
      <c r="V49" s="102"/>
      <c r="W49" s="61">
        <f t="shared" si="23"/>
      </c>
      <c r="X49" s="61"/>
      <c r="Y49" s="61">
        <f t="shared" si="24"/>
      </c>
      <c r="Z49" s="49"/>
      <c r="AA49" s="76">
        <f t="shared" si="25"/>
      </c>
      <c r="AB49" s="60">
        <f>IF(B$47="","",B$47)</f>
      </c>
      <c r="AC49" s="59">
        <f t="shared" si="26"/>
      </c>
      <c r="AD49" s="48">
        <f t="shared" si="27"/>
      </c>
      <c r="AF49" s="56"/>
    </row>
    <row r="50" spans="1:32" ht="63.75" customHeight="1" hidden="1" thickBot="1">
      <c r="A50" s="241">
        <v>21</v>
      </c>
      <c r="B50" s="240"/>
      <c r="C50" s="101"/>
      <c r="D50" s="45"/>
      <c r="E50" s="72">
        <f t="shared" si="4"/>
      </c>
      <c r="F50" s="98"/>
      <c r="G50" s="100"/>
      <c r="H50" s="96"/>
      <c r="I50" s="99"/>
      <c r="J50" s="98"/>
      <c r="K50" s="97"/>
      <c r="L50" s="96"/>
      <c r="M50" s="96"/>
      <c r="N50" s="95">
        <f t="shared" si="17"/>
      </c>
      <c r="O50" s="94">
        <f t="shared" si="18"/>
      </c>
      <c r="P50" s="93"/>
      <c r="Q50" s="92"/>
      <c r="R50" s="88">
        <f t="shared" si="19"/>
      </c>
      <c r="S50" s="90">
        <f t="shared" si="20"/>
      </c>
      <c r="T50" s="91">
        <f t="shared" si="21"/>
      </c>
      <c r="U50" s="91">
        <f t="shared" si="22"/>
      </c>
      <c r="V50" s="91"/>
      <c r="W50" s="89">
        <f t="shared" si="23"/>
      </c>
      <c r="X50" s="89"/>
      <c r="Y50" s="89">
        <f t="shared" si="24"/>
      </c>
      <c r="Z50" s="90"/>
      <c r="AA50" s="89">
        <f t="shared" si="25"/>
      </c>
      <c r="AB50" s="60">
        <f>IF(B$50="","",B$50)</f>
      </c>
      <c r="AC50" s="88">
        <f t="shared" si="26"/>
      </c>
      <c r="AD50" s="87">
        <f t="shared" si="27"/>
      </c>
      <c r="AF50" s="56"/>
    </row>
    <row r="51" spans="1:32" ht="74.25" customHeight="1" hidden="1" thickBot="1">
      <c r="A51" s="242"/>
      <c r="B51" s="240"/>
      <c r="C51" s="86">
        <f>IF($V51="",IF(COUNTA(#REF!)=3,"",""),RANK($V51,$V$17:$V$61,1))</f>
      </c>
      <c r="D51" s="45"/>
      <c r="E51" s="72">
        <f t="shared" si="4"/>
      </c>
      <c r="F51" s="83"/>
      <c r="G51" s="85"/>
      <c r="H51" s="81"/>
      <c r="I51" s="84"/>
      <c r="J51" s="83"/>
      <c r="K51" s="82"/>
      <c r="L51" s="81"/>
      <c r="M51" s="81"/>
      <c r="N51" s="80">
        <f t="shared" si="17"/>
      </c>
      <c r="O51" s="79">
        <f t="shared" si="18"/>
      </c>
      <c r="P51" s="78">
        <f>IF(COUNT($O50:$O52)=3,INT((SUM($N50:$N52)*60+SUM($O50:$O52))/60),"")</f>
      </c>
      <c r="Q51" s="77">
        <f>IF(COUNT($O50:$O52)=3,((SUM($N50:$N52)*60+SUM($O50:$O52)))-$P51*60,"")</f>
      </c>
      <c r="R51" s="75">
        <f t="shared" si="19"/>
      </c>
      <c r="S51" s="49">
        <f t="shared" si="20"/>
      </c>
      <c r="T51" s="58">
        <f t="shared" si="21"/>
      </c>
      <c r="U51" s="58">
        <f t="shared" si="22"/>
      </c>
      <c r="V51" s="58">
        <f>IF($Q51="","",$P51*60+$Q51)</f>
      </c>
      <c r="W51" s="76">
        <f t="shared" si="23"/>
      </c>
      <c r="X51" s="49">
        <f>IF($C51="","",$C51+(ROW(C51)-17)*0.001)</f>
      </c>
      <c r="Y51" s="76">
        <f t="shared" si="24"/>
      </c>
      <c r="Z51" s="49">
        <f>$C51</f>
      </c>
      <c r="AA51" s="76">
        <f t="shared" si="25"/>
      </c>
      <c r="AB51" s="60">
        <f>IF(B$50="","",B$50)</f>
      </c>
      <c r="AC51" s="75">
        <f t="shared" si="26"/>
      </c>
      <c r="AD51" s="50">
        <f t="shared" si="27"/>
      </c>
      <c r="AF51" s="57"/>
    </row>
    <row r="52" spans="1:32" ht="60.75" customHeight="1" hidden="1" thickBot="1">
      <c r="A52" s="243"/>
      <c r="B52" s="74"/>
      <c r="C52" s="73"/>
      <c r="D52" s="45"/>
      <c r="E52" s="72">
        <f t="shared" si="4"/>
      </c>
      <c r="F52" s="69"/>
      <c r="G52" s="71"/>
      <c r="H52" s="67"/>
      <c r="I52" s="70"/>
      <c r="J52" s="69"/>
      <c r="K52" s="68"/>
      <c r="L52" s="67"/>
      <c r="M52" s="67"/>
      <c r="N52" s="66">
        <f t="shared" si="17"/>
      </c>
      <c r="O52" s="65">
        <f t="shared" si="18"/>
      </c>
      <c r="P52" s="64"/>
      <c r="Q52" s="63"/>
      <c r="R52" s="59">
        <f t="shared" si="19"/>
      </c>
      <c r="S52" s="47">
        <f t="shared" si="20"/>
      </c>
      <c r="T52" s="62">
        <f t="shared" si="21"/>
      </c>
      <c r="U52" s="62">
        <f t="shared" si="22"/>
      </c>
      <c r="V52" s="62"/>
      <c r="W52" s="61">
        <f t="shared" si="23"/>
      </c>
      <c r="X52" s="61"/>
      <c r="Y52" s="61">
        <f t="shared" si="24"/>
      </c>
      <c r="Z52" s="49"/>
      <c r="AA52" s="61">
        <f t="shared" si="25"/>
      </c>
      <c r="AB52" s="60">
        <f>IF(B$50="","",B$50)</f>
      </c>
      <c r="AC52" s="59">
        <f t="shared" si="26"/>
      </c>
      <c r="AD52" s="48">
        <f t="shared" si="27"/>
      </c>
      <c r="AF52" s="56"/>
    </row>
    <row r="53" spans="1:32" ht="24" customHeight="1" hidden="1" thickBot="1">
      <c r="A53" s="241">
        <v>22</v>
      </c>
      <c r="B53" s="240"/>
      <c r="C53" s="101"/>
      <c r="D53" s="45"/>
      <c r="E53" s="72">
        <f t="shared" si="4"/>
      </c>
      <c r="F53" s="98"/>
      <c r="G53" s="100"/>
      <c r="H53" s="96"/>
      <c r="I53" s="99"/>
      <c r="J53" s="98"/>
      <c r="K53" s="97"/>
      <c r="L53" s="96"/>
      <c r="M53" s="96"/>
      <c r="N53" s="95">
        <f t="shared" si="17"/>
      </c>
      <c r="O53" s="94">
        <f t="shared" si="18"/>
      </c>
      <c r="P53" s="93"/>
      <c r="Q53" s="92"/>
      <c r="R53" s="88">
        <f t="shared" si="19"/>
      </c>
      <c r="S53" s="90">
        <f t="shared" si="20"/>
      </c>
      <c r="T53" s="91">
        <f t="shared" si="21"/>
      </c>
      <c r="U53" s="91">
        <f t="shared" si="22"/>
      </c>
      <c r="V53" s="91"/>
      <c r="W53" s="89">
        <f t="shared" si="23"/>
      </c>
      <c r="X53" s="89"/>
      <c r="Y53" s="89">
        <f t="shared" si="24"/>
      </c>
      <c r="Z53" s="90"/>
      <c r="AA53" s="89">
        <f t="shared" si="25"/>
      </c>
      <c r="AB53" s="60">
        <f>IF(B$53="","",B$53)</f>
      </c>
      <c r="AC53" s="88">
        <f t="shared" si="26"/>
      </c>
      <c r="AD53" s="87">
        <f t="shared" si="27"/>
      </c>
      <c r="AF53" s="56"/>
    </row>
    <row r="54" spans="1:32" ht="19.5" customHeight="1" hidden="1" thickBot="1">
      <c r="A54" s="242"/>
      <c r="B54" s="240"/>
      <c r="C54" s="86">
        <f>IF($V54="",IF(COUNTA(#REF!)=3,"",""),RANK($V54,$V$17:$V$61,1))</f>
      </c>
      <c r="D54" s="45"/>
      <c r="E54" s="72">
        <f t="shared" si="4"/>
      </c>
      <c r="F54" s="83"/>
      <c r="G54" s="85"/>
      <c r="H54" s="81"/>
      <c r="I54" s="84"/>
      <c r="J54" s="83"/>
      <c r="K54" s="82"/>
      <c r="L54" s="81"/>
      <c r="M54" s="81"/>
      <c r="N54" s="80">
        <f aca="true" t="shared" si="28" ref="N54:N61">IF(U54="","",TRUNC(U54/60))</f>
      </c>
      <c r="O54" s="79">
        <f aca="true" t="shared" si="29" ref="O54:O61">IF(T54="","",T54-N54*60)</f>
      </c>
      <c r="P54" s="78">
        <f>IF(COUNT($O53:$O55)=3,INT((SUM($N53:$N55)*60+SUM($O53:$O55))/60),"")</f>
      </c>
      <c r="Q54" s="77">
        <f>IF(COUNT($O53:$O55)=3,((SUM($N53:$N55)*60+SUM($O53:$O55)))-$P54*60,"")</f>
      </c>
      <c r="R54" s="75">
        <f aca="true" t="shared" si="30" ref="R54:R61">IF($G54="","",$F54*60+$G54+$H54*5+$I54)</f>
      </c>
      <c r="S54" s="49">
        <f aca="true" t="shared" si="31" ref="S54:S61">IF($K54="","",$J54*60+$K54+$L54*5+$M54)</f>
      </c>
      <c r="T54" s="58">
        <f aca="true" t="shared" si="32" ref="T54:T61">IF($S54="",$R54,IF($R54&lt;$S54,$R54,$S54))</f>
      </c>
      <c r="U54" s="58">
        <f aca="true" t="shared" si="33" ref="U54:U61">IF($S54="",$R54,IF($R54&lt;$S54,$R54+0.001,$S54))</f>
      </c>
      <c r="V54" s="58">
        <f>IF($Q54="","",$P54*60+$Q54)</f>
      </c>
      <c r="W54" s="76">
        <f aca="true" t="shared" si="34" ref="W54:W61">IF($E54="","",$E54+(ROW(E54)-16)*0.001)</f>
      </c>
      <c r="X54" s="49">
        <f>IF($C54="","",$C54+(ROW(C54)-17)*0.001)</f>
      </c>
      <c r="Y54" s="76">
        <f aca="true" t="shared" si="35" ref="Y54:Y61">$E54</f>
      </c>
      <c r="Z54" s="49">
        <f>$C54</f>
      </c>
      <c r="AA54" s="76">
        <f aca="true" t="shared" si="36" ref="AA54:AA61">IF($D54="","",$D54)</f>
      </c>
      <c r="AB54" s="60">
        <f>IF(B$53="","",B$53)</f>
      </c>
      <c r="AC54" s="75">
        <f aca="true" t="shared" si="37" ref="AC54:AC61">$N54</f>
      </c>
      <c r="AD54" s="50">
        <f aca="true" t="shared" si="38" ref="AD54:AD61">$O54</f>
      </c>
      <c r="AF54" s="57"/>
    </row>
    <row r="55" spans="1:32" ht="78" customHeight="1" hidden="1" thickBot="1">
      <c r="A55" s="243"/>
      <c r="B55" s="44"/>
      <c r="C55" s="73"/>
      <c r="D55" s="45"/>
      <c r="E55" s="72">
        <f t="shared" si="4"/>
      </c>
      <c r="F55" s="69"/>
      <c r="G55" s="71"/>
      <c r="H55" s="67"/>
      <c r="I55" s="70"/>
      <c r="J55" s="69"/>
      <c r="K55" s="68"/>
      <c r="L55" s="67"/>
      <c r="M55" s="67"/>
      <c r="N55" s="66">
        <f t="shared" si="28"/>
      </c>
      <c r="O55" s="65">
        <f t="shared" si="29"/>
      </c>
      <c r="P55" s="64"/>
      <c r="Q55" s="63"/>
      <c r="R55" s="59">
        <f t="shared" si="30"/>
      </c>
      <c r="S55" s="47">
        <f t="shared" si="31"/>
      </c>
      <c r="T55" s="62">
        <f t="shared" si="32"/>
      </c>
      <c r="U55" s="62">
        <f t="shared" si="33"/>
      </c>
      <c r="V55" s="62"/>
      <c r="W55" s="61">
        <f t="shared" si="34"/>
      </c>
      <c r="X55" s="61"/>
      <c r="Y55" s="61">
        <f t="shared" si="35"/>
      </c>
      <c r="Z55" s="49"/>
      <c r="AA55" s="61">
        <f t="shared" si="36"/>
      </c>
      <c r="AB55" s="60">
        <f>IF(B$53="","",B$53)</f>
      </c>
      <c r="AC55" s="59">
        <f t="shared" si="37"/>
      </c>
      <c r="AD55" s="48">
        <f t="shared" si="38"/>
      </c>
      <c r="AF55" s="56"/>
    </row>
    <row r="56" spans="1:32" ht="51" customHeight="1" hidden="1" thickBot="1">
      <c r="A56" s="241">
        <v>23</v>
      </c>
      <c r="B56" s="240"/>
      <c r="C56" s="101"/>
      <c r="D56" s="45"/>
      <c r="E56" s="72">
        <f t="shared" si="4"/>
      </c>
      <c r="F56" s="98"/>
      <c r="G56" s="100"/>
      <c r="H56" s="96"/>
      <c r="I56" s="100"/>
      <c r="J56" s="98"/>
      <c r="K56" s="97"/>
      <c r="L56" s="96"/>
      <c r="M56" s="46"/>
      <c r="N56" s="110">
        <f t="shared" si="28"/>
      </c>
      <c r="O56" s="109">
        <f t="shared" si="29"/>
      </c>
      <c r="P56" s="108"/>
      <c r="Q56" s="101"/>
      <c r="R56" s="88">
        <f t="shared" si="30"/>
      </c>
      <c r="S56" s="90">
        <f t="shared" si="31"/>
      </c>
      <c r="T56" s="91">
        <f t="shared" si="32"/>
      </c>
      <c r="U56" s="91">
        <f t="shared" si="33"/>
      </c>
      <c r="V56" s="107"/>
      <c r="W56" s="89">
        <f t="shared" si="34"/>
      </c>
      <c r="X56" s="89"/>
      <c r="Y56" s="89">
        <f t="shared" si="35"/>
      </c>
      <c r="Z56" s="90"/>
      <c r="AA56" s="89">
        <f t="shared" si="36"/>
      </c>
      <c r="AB56" s="60">
        <f>IF(B$56="","",B$56)</f>
      </c>
      <c r="AC56" s="88">
        <f t="shared" si="37"/>
      </c>
      <c r="AD56" s="87">
        <f t="shared" si="38"/>
      </c>
      <c r="AF56" s="56"/>
    </row>
    <row r="57" spans="1:36" ht="57" customHeight="1" hidden="1" thickBot="1">
      <c r="A57" s="242"/>
      <c r="B57" s="240"/>
      <c r="C57" s="86">
        <f>IF($V57="",IF(COUNTA(#REF!)=3,"",""),RANK($V57,$V$17:$V$61,1))</f>
      </c>
      <c r="D57" s="45"/>
      <c r="E57" s="72">
        <f t="shared" si="4"/>
      </c>
      <c r="F57" s="83"/>
      <c r="G57" s="85"/>
      <c r="H57" s="81"/>
      <c r="I57" s="85"/>
      <c r="J57" s="83"/>
      <c r="K57" s="82"/>
      <c r="L57" s="81"/>
      <c r="M57" s="106"/>
      <c r="N57" s="80">
        <f t="shared" si="28"/>
      </c>
      <c r="O57" s="79">
        <f t="shared" si="29"/>
      </c>
      <c r="P57" s="78">
        <f>IF(COUNT($O56:$O58)=3,INT((SUM($N56:$N58)*60+SUM($O56:$O58))/60),"")</f>
      </c>
      <c r="Q57" s="77">
        <f>IF(COUNT($O56:$O58)=3,((SUM($N56:$N58)*60+SUM($O56:$O58)))-$P57*60,"")</f>
      </c>
      <c r="R57" s="75">
        <f t="shared" si="30"/>
      </c>
      <c r="S57" s="49">
        <f t="shared" si="31"/>
      </c>
      <c r="T57" s="58">
        <f t="shared" si="32"/>
      </c>
      <c r="U57" s="58">
        <f t="shared" si="33"/>
      </c>
      <c r="V57" s="105">
        <f>IF($Q57="","",$P57*60+$Q57)</f>
      </c>
      <c r="W57" s="76">
        <f t="shared" si="34"/>
      </c>
      <c r="X57" s="49">
        <f>IF($C57="","",$C57+(ROW(C57)-17)*0.001)</f>
      </c>
      <c r="Y57" s="76">
        <f t="shared" si="35"/>
      </c>
      <c r="Z57" s="49">
        <f>$C57</f>
      </c>
      <c r="AA57" s="76">
        <f t="shared" si="36"/>
      </c>
      <c r="AB57" s="60">
        <f>IF(B$56="","",B$56)</f>
      </c>
      <c r="AC57" s="75">
        <f t="shared" si="37"/>
      </c>
      <c r="AD57" s="50">
        <f t="shared" si="38"/>
      </c>
      <c r="AE57" s="58"/>
      <c r="AF57" s="57"/>
      <c r="AG57" s="58"/>
      <c r="AH57" s="58"/>
      <c r="AI57" s="58"/>
      <c r="AJ57" s="58"/>
    </row>
    <row r="58" spans="1:32" ht="53.25" customHeight="1" hidden="1" thickBot="1">
      <c r="A58" s="242"/>
      <c r="B58" s="135"/>
      <c r="C58" s="86"/>
      <c r="D58" s="209"/>
      <c r="E58" s="210">
        <f t="shared" si="4"/>
      </c>
      <c r="F58" s="117"/>
      <c r="G58" s="118"/>
      <c r="H58" s="115"/>
      <c r="I58" s="118"/>
      <c r="J58" s="117"/>
      <c r="K58" s="116"/>
      <c r="L58" s="115"/>
      <c r="M58" s="114"/>
      <c r="N58" s="211">
        <f t="shared" si="28"/>
      </c>
      <c r="O58" s="142">
        <f t="shared" si="29"/>
      </c>
      <c r="P58" s="113"/>
      <c r="Q58" s="77"/>
      <c r="R58" s="59">
        <f t="shared" si="30"/>
      </c>
      <c r="S58" s="47">
        <f t="shared" si="31"/>
      </c>
      <c r="T58" s="62">
        <f t="shared" si="32"/>
      </c>
      <c r="U58" s="62">
        <f t="shared" si="33"/>
      </c>
      <c r="V58" s="102"/>
      <c r="W58" s="61">
        <f t="shared" si="34"/>
      </c>
      <c r="X58" s="61"/>
      <c r="Y58" s="61">
        <f t="shared" si="35"/>
      </c>
      <c r="Z58" s="49"/>
      <c r="AA58" s="76">
        <f t="shared" si="36"/>
      </c>
      <c r="AB58" s="60">
        <f>IF(B$56="","",B$56)</f>
      </c>
      <c r="AC58" s="59">
        <f t="shared" si="37"/>
      </c>
      <c r="AD58" s="48">
        <f t="shared" si="38"/>
      </c>
      <c r="AF58" s="56"/>
    </row>
    <row r="59" spans="1:32" ht="36" customHeight="1" hidden="1" thickBot="1">
      <c r="A59" s="227">
        <v>24</v>
      </c>
      <c r="B59" s="227"/>
      <c r="C59" s="143"/>
      <c r="D59" s="148"/>
      <c r="E59" s="149">
        <f t="shared" si="4"/>
      </c>
      <c r="F59" s="150"/>
      <c r="G59" s="151"/>
      <c r="H59" s="150"/>
      <c r="I59" s="151"/>
      <c r="J59" s="150"/>
      <c r="K59" s="151"/>
      <c r="L59" s="150"/>
      <c r="M59" s="150"/>
      <c r="N59" s="154">
        <f t="shared" si="28"/>
      </c>
      <c r="O59" s="155">
        <f t="shared" si="29"/>
      </c>
      <c r="P59" s="154"/>
      <c r="Q59" s="154"/>
      <c r="R59" s="90">
        <f t="shared" si="30"/>
      </c>
      <c r="S59" s="90">
        <f t="shared" si="31"/>
      </c>
      <c r="T59" s="91">
        <f t="shared" si="32"/>
      </c>
      <c r="U59" s="91">
        <f t="shared" si="33"/>
      </c>
      <c r="V59" s="91"/>
      <c r="W59" s="89">
        <f t="shared" si="34"/>
      </c>
      <c r="X59" s="89"/>
      <c r="Y59" s="89">
        <f t="shared" si="35"/>
      </c>
      <c r="Z59" s="90"/>
      <c r="AA59" s="89">
        <f t="shared" si="36"/>
      </c>
      <c r="AB59" s="60">
        <f>IF(B$59="","",B$59)</f>
      </c>
      <c r="AC59" s="88">
        <f t="shared" si="37"/>
      </c>
      <c r="AD59" s="87">
        <f t="shared" si="38"/>
      </c>
      <c r="AE59" s="58"/>
      <c r="AF59" s="56"/>
    </row>
    <row r="60" spans="1:32" ht="45" customHeight="1" hidden="1" thickBot="1">
      <c r="A60" s="227"/>
      <c r="B60" s="227"/>
      <c r="C60" s="153">
        <f>IF($V60="",IF(COUNTA(#REF!)=3,"",""),RANK($V60,$V$17:$V$61,1))</f>
      </c>
      <c r="D60" s="148"/>
      <c r="E60" s="149">
        <f t="shared" si="4"/>
      </c>
      <c r="F60" s="150"/>
      <c r="G60" s="151"/>
      <c r="H60" s="150"/>
      <c r="I60" s="151"/>
      <c r="J60" s="150"/>
      <c r="K60" s="151"/>
      <c r="L60" s="150"/>
      <c r="M60" s="150"/>
      <c r="N60" s="154">
        <f t="shared" si="28"/>
      </c>
      <c r="O60" s="155">
        <f t="shared" si="29"/>
      </c>
      <c r="P60" s="154">
        <f>IF(COUNT($O59:$O61)=3,INT((SUM($N59:$N61)*60+SUM($O59:$O61))/60),"")</f>
      </c>
      <c r="Q60" s="154">
        <f>IF(COUNT($O59:$O61)=3,((SUM($N59:$N61)*60+SUM($O59:$O61)))-$P60*60,"")</f>
      </c>
      <c r="R60" s="49">
        <f t="shared" si="30"/>
      </c>
      <c r="S60" s="49">
        <f t="shared" si="31"/>
      </c>
      <c r="T60" s="58">
        <f t="shared" si="32"/>
      </c>
      <c r="U60" s="58">
        <f t="shared" si="33"/>
      </c>
      <c r="V60" s="58">
        <f>IF($Q60="","",$P60*60+$Q60)</f>
      </c>
      <c r="W60" s="76">
        <f t="shared" si="34"/>
      </c>
      <c r="X60" s="49">
        <f>IF($C60="","",$C60+(ROW(C60)-17)*0.001)</f>
      </c>
      <c r="Y60" s="76">
        <f t="shared" si="35"/>
      </c>
      <c r="Z60" s="49">
        <f>$C60</f>
      </c>
      <c r="AA60" s="76">
        <f t="shared" si="36"/>
      </c>
      <c r="AB60" s="60">
        <f>IF(B$59="","",B$59)</f>
      </c>
      <c r="AC60" s="75">
        <f t="shared" si="37"/>
      </c>
      <c r="AD60" s="50">
        <f t="shared" si="38"/>
      </c>
      <c r="AE60" s="58"/>
      <c r="AF60" s="56"/>
    </row>
    <row r="61" spans="1:32" ht="0" customHeight="1" hidden="1" thickBot="1">
      <c r="A61" s="227"/>
      <c r="B61" s="146"/>
      <c r="C61" s="153"/>
      <c r="D61" s="148"/>
      <c r="E61" s="149">
        <f t="shared" si="4"/>
      </c>
      <c r="F61" s="150"/>
      <c r="G61" s="151"/>
      <c r="H61" s="150"/>
      <c r="I61" s="151"/>
      <c r="J61" s="150"/>
      <c r="K61" s="151"/>
      <c r="L61" s="150"/>
      <c r="M61" s="150"/>
      <c r="N61" s="154">
        <f t="shared" si="28"/>
      </c>
      <c r="O61" s="155">
        <f t="shared" si="29"/>
      </c>
      <c r="P61" s="154"/>
      <c r="Q61" s="154"/>
      <c r="R61" s="47">
        <f t="shared" si="30"/>
      </c>
      <c r="S61" s="47">
        <f t="shared" si="31"/>
      </c>
      <c r="T61" s="62">
        <f t="shared" si="32"/>
      </c>
      <c r="U61" s="62">
        <f t="shared" si="33"/>
      </c>
      <c r="V61" s="62"/>
      <c r="W61" s="61">
        <f t="shared" si="34"/>
      </c>
      <c r="X61" s="61"/>
      <c r="Y61" s="61">
        <f t="shared" si="35"/>
      </c>
      <c r="Z61" s="49"/>
      <c r="AA61" s="61">
        <f t="shared" si="36"/>
      </c>
      <c r="AB61" s="60">
        <f>IF(B$59="","",B$59)</f>
      </c>
      <c r="AC61" s="59">
        <f t="shared" si="37"/>
      </c>
      <c r="AD61" s="48">
        <f t="shared" si="38"/>
      </c>
      <c r="AE61" s="58"/>
      <c r="AF61" s="56"/>
    </row>
    <row r="62" spans="31:32" ht="15" customHeight="1">
      <c r="AE62" s="58"/>
      <c r="AF62" s="57"/>
    </row>
    <row r="63" spans="31:32" ht="15" customHeight="1">
      <c r="AE63" s="58"/>
      <c r="AF63" s="56"/>
    </row>
    <row r="64" spans="2:32" ht="15" customHeight="1" thickBot="1">
      <c r="B64" s="245" t="s">
        <v>38</v>
      </c>
      <c r="C64" s="245"/>
      <c r="D64" s="245"/>
      <c r="E64" s="245"/>
      <c r="F64" s="245"/>
      <c r="G64" s="245"/>
      <c r="AE64" s="58"/>
      <c r="AF64" s="56"/>
    </row>
    <row r="65" spans="5:32" ht="14.25" customHeight="1">
      <c r="E65" s="55"/>
      <c r="F65" s="54"/>
      <c r="AF65" s="57"/>
    </row>
    <row r="66" spans="2:32" ht="14.25" customHeight="1" thickBot="1">
      <c r="B66" s="245" t="s">
        <v>37</v>
      </c>
      <c r="C66" s="245"/>
      <c r="D66" s="245"/>
      <c r="E66" s="245"/>
      <c r="F66" s="245"/>
      <c r="G66" s="245"/>
      <c r="AF66" s="56"/>
    </row>
    <row r="67" spans="5:32" ht="14.25" customHeight="1">
      <c r="E67" s="55"/>
      <c r="F67" s="54"/>
      <c r="AF67" s="56"/>
    </row>
    <row r="68" spans="2:32" ht="14.25" customHeight="1" thickBot="1">
      <c r="B68" s="245" t="s">
        <v>36</v>
      </c>
      <c r="C68" s="245"/>
      <c r="D68" s="245"/>
      <c r="E68" s="245"/>
      <c r="F68" s="245"/>
      <c r="G68" s="245"/>
      <c r="AF68" s="57"/>
    </row>
    <row r="69" spans="5:32" ht="14.25" customHeight="1">
      <c r="E69" s="55"/>
      <c r="F69" s="54"/>
      <c r="AF69" s="56"/>
    </row>
    <row r="70" spans="5:32" ht="14.25" customHeight="1">
      <c r="E70" s="55"/>
      <c r="F70" s="54"/>
      <c r="AF70" s="56"/>
    </row>
    <row r="71" spans="5:32" ht="14.25" customHeight="1">
      <c r="E71" s="55"/>
      <c r="F71" s="54"/>
      <c r="AF71" s="57"/>
    </row>
    <row r="72" spans="5:32" ht="14.25" customHeight="1">
      <c r="E72" s="55"/>
      <c r="F72" s="54"/>
      <c r="AF72" s="56"/>
    </row>
    <row r="73" spans="5:32" ht="14.25" customHeight="1">
      <c r="E73" s="55"/>
      <c r="F73" s="54"/>
      <c r="AF73" s="56"/>
    </row>
    <row r="74" spans="5:32" ht="12.75">
      <c r="E74" s="55"/>
      <c r="F74" s="54"/>
      <c r="AF74" s="57"/>
    </row>
    <row r="75" spans="5:32" ht="12.75">
      <c r="E75" s="55"/>
      <c r="F75" s="54"/>
      <c r="AF75" s="56"/>
    </row>
    <row r="76" spans="5:32" ht="14.25" customHeight="1">
      <c r="E76" s="55"/>
      <c r="F76" s="54"/>
      <c r="AF76" s="56"/>
    </row>
    <row r="77" spans="5:32" ht="12.75">
      <c r="E77" s="55"/>
      <c r="F77" s="54"/>
      <c r="AF77" s="57"/>
    </row>
    <row r="78" spans="5:32" ht="12.75">
      <c r="E78" s="55"/>
      <c r="F78" s="54"/>
      <c r="AF78" s="56"/>
    </row>
    <row r="79" spans="5:6" ht="12.75">
      <c r="E79" s="55"/>
      <c r="F79" s="54"/>
    </row>
    <row r="80" spans="5:6" ht="12.75">
      <c r="E80" s="55"/>
      <c r="F80" s="54"/>
    </row>
    <row r="81" spans="5:6" ht="12.75">
      <c r="E81" s="55"/>
      <c r="F81" s="54"/>
    </row>
    <row r="82" spans="5:6" ht="12.75">
      <c r="E82" s="55"/>
      <c r="F82" s="54"/>
    </row>
    <row r="83" spans="5:6" ht="12.75">
      <c r="E83" s="55"/>
      <c r="F83" s="54"/>
    </row>
    <row r="84" spans="5:6" ht="12.75">
      <c r="E84" s="55"/>
      <c r="F84" s="54"/>
    </row>
    <row r="85" spans="5:6" ht="12.75">
      <c r="E85" s="55"/>
      <c r="F85" s="54"/>
    </row>
    <row r="86" spans="5:6" ht="12.75">
      <c r="E86" s="55"/>
      <c r="F86" s="54"/>
    </row>
    <row r="87" spans="5:6" ht="12.75">
      <c r="E87" s="55"/>
      <c r="F87" s="54"/>
    </row>
    <row r="88" spans="5:6" ht="12.75">
      <c r="E88" s="55"/>
      <c r="F88" s="54"/>
    </row>
    <row r="89" spans="5:6" ht="12.75">
      <c r="E89" s="55"/>
      <c r="F89" s="54"/>
    </row>
    <row r="90" spans="5:6" ht="12.75">
      <c r="E90" s="55"/>
      <c r="F90" s="54"/>
    </row>
    <row r="91" spans="5:6" ht="12.75">
      <c r="E91" s="55"/>
      <c r="F91" s="54"/>
    </row>
    <row r="92" spans="5:6" ht="12.75">
      <c r="E92" s="55"/>
      <c r="F92" s="54"/>
    </row>
    <row r="93" spans="5:6" ht="12.75">
      <c r="E93" s="55"/>
      <c r="F93" s="54"/>
    </row>
    <row r="94" spans="5:6" ht="12.75">
      <c r="E94" s="55"/>
      <c r="F94" s="54"/>
    </row>
    <row r="95" spans="5:6" ht="12.75">
      <c r="E95" s="55"/>
      <c r="F95" s="54"/>
    </row>
    <row r="96" spans="5:6" ht="12.75">
      <c r="E96" s="55"/>
      <c r="F96" s="54"/>
    </row>
    <row r="97" spans="5:6" ht="12.75">
      <c r="E97" s="55"/>
      <c r="F97" s="54"/>
    </row>
    <row r="98" spans="5:6" ht="12.75">
      <c r="E98" s="55"/>
      <c r="F98" s="54"/>
    </row>
    <row r="99" spans="5:6" ht="12.75">
      <c r="E99" s="55"/>
      <c r="F99" s="54"/>
    </row>
  </sheetData>
  <sheetProtection/>
  <mergeCells count="63">
    <mergeCell ref="N13:O13"/>
    <mergeCell ref="N12:O12"/>
    <mergeCell ref="H8:I8"/>
    <mergeCell ref="B53:B54"/>
    <mergeCell ref="B50:B51"/>
    <mergeCell ref="B47:B48"/>
    <mergeCell ref="B64:G64"/>
    <mergeCell ref="B66:G66"/>
    <mergeCell ref="B68:G68"/>
    <mergeCell ref="A47:A49"/>
    <mergeCell ref="A50:A52"/>
    <mergeCell ref="B44:B45"/>
    <mergeCell ref="H10:I10"/>
    <mergeCell ref="H11:I11"/>
    <mergeCell ref="H12:I12"/>
    <mergeCell ref="H13:I13"/>
    <mergeCell ref="A35:A37"/>
    <mergeCell ref="A23:A25"/>
    <mergeCell ref="A29:A31"/>
    <mergeCell ref="A38:A40"/>
    <mergeCell ref="B56:B57"/>
    <mergeCell ref="B59:B60"/>
    <mergeCell ref="A53:A55"/>
    <mergeCell ref="A56:A58"/>
    <mergeCell ref="A59:A61"/>
    <mergeCell ref="A44:A46"/>
    <mergeCell ref="A1:M1"/>
    <mergeCell ref="I2:M2"/>
    <mergeCell ref="B7:C7"/>
    <mergeCell ref="J15:L15"/>
    <mergeCell ref="A32:A34"/>
    <mergeCell ref="A17:A19"/>
    <mergeCell ref="A26:A28"/>
    <mergeCell ref="A20:A22"/>
    <mergeCell ref="R2:X2"/>
    <mergeCell ref="D13:E13"/>
    <mergeCell ref="F15:H15"/>
    <mergeCell ref="K8:M8"/>
    <mergeCell ref="N16:O16"/>
    <mergeCell ref="D12:E12"/>
    <mergeCell ref="K7:M7"/>
    <mergeCell ref="N8:O8"/>
    <mergeCell ref="N9:O9"/>
    <mergeCell ref="P16:Q16"/>
    <mergeCell ref="D8:E8"/>
    <mergeCell ref="K13:M13"/>
    <mergeCell ref="D9:E9"/>
    <mergeCell ref="D10:E10"/>
    <mergeCell ref="K10:M10"/>
    <mergeCell ref="K9:M9"/>
    <mergeCell ref="D11:E11"/>
    <mergeCell ref="N10:O10"/>
    <mergeCell ref="N11:O11"/>
    <mergeCell ref="J32:K32"/>
    <mergeCell ref="H9:I9"/>
    <mergeCell ref="I3:M3"/>
    <mergeCell ref="A41:A43"/>
    <mergeCell ref="AC15:AD15"/>
    <mergeCell ref="AC16:AD16"/>
    <mergeCell ref="K11:M11"/>
    <mergeCell ref="K12:M12"/>
    <mergeCell ref="N15:O15"/>
    <mergeCell ref="P15:Q15"/>
  </mergeCells>
  <printOptions horizontalCentered="1" verticalCentered="1"/>
  <pageMargins left="0.25" right="0.25" top="0.75" bottom="0.75" header="0.3" footer="0.3"/>
  <pageSetup firstPageNumber="3" useFirstPageNumber="1"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Zeros="0" view="pageBreakPreview" zoomScale="86" zoomScaleNormal="82" zoomScaleSheetLayoutView="86" zoomScalePageLayoutView="0" workbookViewId="0" topLeftCell="A8">
      <selection activeCell="O5" sqref="O5"/>
    </sheetView>
  </sheetViews>
  <sheetFormatPr defaultColWidth="9.00390625" defaultRowHeight="13.5"/>
  <cols>
    <col min="1" max="1" width="4.50390625" style="2" customWidth="1"/>
    <col min="2" max="2" width="14.50390625" style="2" bestFit="1" customWidth="1"/>
    <col min="3" max="3" width="4.875" style="2" customWidth="1"/>
    <col min="4" max="4" width="14.125" style="2" customWidth="1"/>
    <col min="5" max="5" width="5.875" style="2" customWidth="1"/>
    <col min="6" max="6" width="2.875" style="2" customWidth="1"/>
    <col min="7" max="7" width="11.125" style="2" customWidth="1"/>
    <col min="8" max="8" width="3.875" style="2" customWidth="1"/>
    <col min="9" max="9" width="8.375" style="2" customWidth="1"/>
    <col min="10" max="10" width="3.875" style="2" customWidth="1"/>
    <col min="11" max="11" width="11.00390625" style="2" customWidth="1"/>
    <col min="12" max="12" width="3.875" style="2" customWidth="1"/>
    <col min="13" max="13" width="7.875" style="2" customWidth="1"/>
    <col min="14" max="14" width="2.875" style="2" customWidth="1"/>
    <col min="15" max="15" width="11.00390625" style="2" customWidth="1"/>
    <col min="16" max="16" width="2.875" style="2" customWidth="1"/>
    <col min="17" max="17" width="13.875" style="2" customWidth="1"/>
    <col min="18" max="18" width="3.875" style="2" hidden="1" customWidth="1"/>
    <col min="19" max="19" width="4.00390625" style="2" hidden="1" customWidth="1"/>
    <col min="20" max="20" width="0.12890625" style="2" hidden="1" customWidth="1"/>
    <col min="21" max="21" width="4.50390625" style="2" hidden="1" customWidth="1"/>
    <col min="22" max="22" width="5.125" style="2" hidden="1" customWidth="1"/>
    <col min="23" max="23" width="6.00390625" style="2" hidden="1" customWidth="1"/>
    <col min="24" max="24" width="6.125" style="2" hidden="1" customWidth="1"/>
    <col min="25" max="26" width="4.50390625" style="2" customWidth="1"/>
    <col min="27" max="27" width="12.50390625" style="2" customWidth="1"/>
    <col min="28" max="28" width="15.375" style="2" customWidth="1"/>
    <col min="29" max="29" width="5.125" style="2" customWidth="1"/>
    <col min="30" max="30" width="7.875" style="2" customWidth="1"/>
    <col min="31" max="33" width="9.00390625" style="2" customWidth="1"/>
  </cols>
  <sheetData>
    <row r="1" spans="1:20" ht="16.5">
      <c r="A1" s="265" t="s">
        <v>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1"/>
      <c r="S1" s="1"/>
      <c r="T1" s="1"/>
    </row>
    <row r="2" spans="1:24" ht="16.5">
      <c r="A2" s="3"/>
      <c r="B2" s="4"/>
      <c r="C2" s="4"/>
      <c r="D2" s="4"/>
      <c r="E2" s="4"/>
      <c r="F2" s="5"/>
      <c r="G2" s="4"/>
      <c r="H2" s="4"/>
      <c r="I2" s="4"/>
      <c r="J2" s="5"/>
      <c r="K2" s="4"/>
      <c r="L2" s="4"/>
      <c r="M2" s="8" t="s">
        <v>95</v>
      </c>
      <c r="N2" s="4"/>
      <c r="O2" s="37"/>
      <c r="P2" s="37"/>
      <c r="Q2" s="37"/>
      <c r="R2" s="266" t="s">
        <v>21</v>
      </c>
      <c r="S2" s="266"/>
      <c r="T2" s="266"/>
      <c r="U2" s="266"/>
      <c r="V2" s="266"/>
      <c r="W2" s="266"/>
      <c r="X2" s="266"/>
    </row>
    <row r="3" spans="1:24" ht="13.5">
      <c r="A3" s="5"/>
      <c r="B3" s="7"/>
      <c r="C3" s="4"/>
      <c r="D3" s="4"/>
      <c r="E3" s="4"/>
      <c r="F3" s="5"/>
      <c r="G3" s="4"/>
      <c r="H3" s="4"/>
      <c r="I3" s="4"/>
      <c r="J3" s="5"/>
      <c r="K3" s="4"/>
      <c r="L3" s="4"/>
      <c r="M3" s="8" t="s">
        <v>28</v>
      </c>
      <c r="N3" s="4"/>
      <c r="O3" s="9"/>
      <c r="P3" s="9"/>
      <c r="Q3" s="9"/>
      <c r="R3" s="10"/>
      <c r="S3" s="10"/>
      <c r="T3" s="10"/>
      <c r="U3" s="10"/>
      <c r="V3" s="11"/>
      <c r="W3" s="11"/>
      <c r="X3" s="11"/>
    </row>
    <row r="4" spans="1:24" ht="13.5">
      <c r="A4" s="4"/>
      <c r="B4" s="7" t="s">
        <v>19</v>
      </c>
      <c r="C4" s="4"/>
      <c r="D4" s="4"/>
      <c r="E4" s="4"/>
      <c r="F4" s="5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V4" s="12"/>
      <c r="W4" s="12"/>
      <c r="X4" s="12"/>
    </row>
    <row r="5" spans="1:17" ht="12.75">
      <c r="A5" s="4"/>
      <c r="B5" s="4"/>
      <c r="C5" s="4"/>
      <c r="D5" s="4"/>
      <c r="E5" s="4"/>
      <c r="F5" s="5"/>
      <c r="G5" s="4"/>
      <c r="H5" s="4"/>
      <c r="I5" s="4"/>
      <c r="J5" s="5"/>
      <c r="K5" s="4"/>
      <c r="L5" s="4"/>
      <c r="M5" s="4"/>
      <c r="N5" s="4"/>
      <c r="O5" s="4"/>
      <c r="P5" s="4"/>
      <c r="Q5" s="4"/>
    </row>
    <row r="6" spans="1:17" ht="12.75">
      <c r="A6" s="212"/>
      <c r="B6" s="4"/>
      <c r="C6" s="4"/>
      <c r="D6" s="4"/>
      <c r="E6" s="4"/>
      <c r="F6" s="188"/>
      <c r="G6" s="212"/>
      <c r="H6" s="212"/>
      <c r="I6" s="212"/>
      <c r="J6" s="5"/>
      <c r="K6" s="4"/>
      <c r="L6" s="4"/>
      <c r="M6" s="4"/>
      <c r="N6" s="212"/>
      <c r="O6" s="212"/>
      <c r="P6" s="212"/>
      <c r="Q6" s="212"/>
    </row>
    <row r="7" spans="1:17" ht="12.75">
      <c r="A7" s="215"/>
      <c r="B7" s="267" t="s">
        <v>18</v>
      </c>
      <c r="C7" s="267"/>
      <c r="D7" s="213"/>
      <c r="E7" s="216"/>
      <c r="F7" s="216"/>
      <c r="G7" s="216"/>
      <c r="H7" s="216"/>
      <c r="I7" s="216"/>
      <c r="J7" s="215"/>
      <c r="K7" s="268" t="s">
        <v>17</v>
      </c>
      <c r="L7" s="268"/>
      <c r="M7" s="268"/>
      <c r="N7" s="213"/>
      <c r="O7" s="216"/>
      <c r="P7" s="220"/>
      <c r="Q7" s="218"/>
    </row>
    <row r="8" spans="1:17" ht="12.75">
      <c r="A8" s="170">
        <v>1</v>
      </c>
      <c r="B8" s="254" t="str">
        <f>VLOOKUP(A8,$Y$17:$AA$30,3,FALSE)</f>
        <v>大沼　すず音</v>
      </c>
      <c r="C8" s="254"/>
      <c r="D8" s="254" t="str">
        <f>VLOOKUP(B8,$AA$17:$AB$30,2,FALSE)</f>
        <v>早稲田大学</v>
      </c>
      <c r="E8" s="254"/>
      <c r="F8" s="170">
        <f>VLOOKUP(B8,$AA$17:$AD$30,3,FALSE)</f>
        <v>1</v>
      </c>
      <c r="G8" s="170">
        <f>VLOOKUP($B8,$AA$17:$AD$30,4,)</f>
        <v>24.241</v>
      </c>
      <c r="H8" s="217"/>
      <c r="I8" s="214"/>
      <c r="J8" s="170">
        <f>IF(ISERROR(SMALL($X$17:$X$28,1))=TRUE,"",SMALL($X$17:$X$28,1))</f>
        <v>1</v>
      </c>
      <c r="K8" s="254" t="str">
        <f>IF(J8="","",VLOOKUP($J8,$X$17:$AB$28,5,FALSE))</f>
        <v>立教大学</v>
      </c>
      <c r="L8" s="254"/>
      <c r="M8" s="254"/>
      <c r="N8" s="170">
        <f>IF(K8="","",VLOOKUP($K8,$B$17:$Q$28,15,FALSE))</f>
        <v>3</v>
      </c>
      <c r="O8" s="170">
        <f>IF(K8="","",VLOOKUP($K8,$B$17:$Q$28,16,FALSE))</f>
        <v>20.514999999999986</v>
      </c>
      <c r="P8" s="219"/>
      <c r="Q8" s="218"/>
    </row>
    <row r="9" spans="1:25" ht="12.75">
      <c r="A9" s="170">
        <v>2</v>
      </c>
      <c r="B9" s="254" t="str">
        <f>VLOOKUP(A9,$Y$17:$AA$30,3,FALSE)</f>
        <v>上村　静香</v>
      </c>
      <c r="C9" s="254"/>
      <c r="D9" s="254" t="str">
        <f>VLOOKUP(B9,$AA$17:$AB$30,2,FALSE)</f>
        <v>中央大学</v>
      </c>
      <c r="E9" s="254"/>
      <c r="F9" s="170">
        <f>IF(A9="","",VLOOKUP($B9,$AA$17:$AD$28,3,FALSE))</f>
        <v>1</v>
      </c>
      <c r="G9" s="170">
        <f>VLOOKUP($B9,$AA$17:$AD$30,4,)</f>
        <v>31.491</v>
      </c>
      <c r="H9" s="255">
        <f>(F9*60+G9)-($F$8*60+$G$8)</f>
        <v>7.25</v>
      </c>
      <c r="I9" s="255"/>
      <c r="J9" s="170"/>
      <c r="K9" s="254"/>
      <c r="L9" s="254"/>
      <c r="M9" s="254"/>
      <c r="N9" s="170"/>
      <c r="O9" s="170"/>
      <c r="P9" s="250"/>
      <c r="Q9" s="250"/>
      <c r="Y9" s="12"/>
    </row>
    <row r="10" spans="1:17" ht="12.75" customHeight="1">
      <c r="A10" s="170">
        <v>3</v>
      </c>
      <c r="B10" s="254" t="str">
        <f>VLOOKUP(A10,$Y$17:$AA$30,3,FALSE)</f>
        <v>金山　桃子</v>
      </c>
      <c r="C10" s="254"/>
      <c r="D10" s="254" t="str">
        <f>VLOOKUP(B10,$AA$17:$AB$30,2,FALSE)</f>
        <v>立教大学</v>
      </c>
      <c r="E10" s="254"/>
      <c r="F10" s="170">
        <f>IF(A10="","",VLOOKUP($B10,$AA$17:$AD$28,3,FALSE))</f>
        <v>1</v>
      </c>
      <c r="G10" s="170">
        <f>VLOOKUP($B10,$AA$17:$AD$30,4,)</f>
        <v>37.861999999999995</v>
      </c>
      <c r="H10" s="255">
        <f>(F10*60+G10)-($F$8*60+$G$8)</f>
        <v>13.620999999999995</v>
      </c>
      <c r="I10" s="255"/>
      <c r="J10" s="170">
        <f>IF(ISERROR(SMALL($X$17:$X$28,3))=TRUE,"",SMALL($X$17:$X$28,3))</f>
      </c>
      <c r="K10" s="254">
        <f>IF(J10="","",VLOOKUP($J10,$X$17:$AB$28,5,FALSE))</f>
      </c>
      <c r="L10" s="254"/>
      <c r="M10" s="254"/>
      <c r="N10" s="170">
        <f>IF(K10="","",VLOOKUP($K10,$B$17:$Q$28,15,FALSE))</f>
      </c>
      <c r="O10" s="170">
        <f>IF(K10="","",VLOOKUP($K10,$B$17:$Q$28,16,FALSE))</f>
      </c>
      <c r="P10" s="250"/>
      <c r="Q10" s="251"/>
    </row>
    <row r="11" spans="1:17" ht="13.5" hidden="1" thickBot="1">
      <c r="A11" s="167">
        <f>IF(ISERROR(SMALL($W$17:$W$28,4))=TRUE,"",SMALL($W$17:$W$28,4))</f>
        <v>5.002</v>
      </c>
      <c r="B11" s="257" t="str">
        <f>IF(A11="","",VLOOKUP($A11,$W$17:$AD$28,5,FALSE))</f>
        <v>田中　杏奈</v>
      </c>
      <c r="C11" s="259"/>
      <c r="D11" s="258" t="str">
        <f>IF(A11="","",VLOOKUP($B11,$AA$17:$AB$28,2,FALSE))</f>
        <v>立教大学</v>
      </c>
      <c r="E11" s="258"/>
      <c r="F11" s="136">
        <f>IF(A11="","",VLOOKUP($B11,$AA$17:$AD$28,3,FALSE))</f>
        <v>1</v>
      </c>
      <c r="G11" s="168">
        <f>IF(A11="","",VLOOKUP($B11,$AA$17:$AD$28,4,FALSE))</f>
        <v>42.65299999999999</v>
      </c>
      <c r="H11" s="13"/>
      <c r="I11" s="13"/>
      <c r="J11" s="167">
        <f>IF(ISERROR(SMALL($X$17:$X$28,4))=TRUE,"",SMALL($X$17:$X$28,4))</f>
      </c>
      <c r="K11" s="257">
        <f>IF(J11="","",VLOOKUP($J11,$X$18:$AB$28,5,FALSE))</f>
      </c>
      <c r="L11" s="258"/>
      <c r="M11" s="259"/>
      <c r="N11" s="137">
        <f>IF(K11="","",VLOOKUP($K11,$B$18:$Q$28,15,FALSE))</f>
      </c>
      <c r="O11" s="38">
        <f>IF(K11="","",VLOOKUP($K11,$B$18:$Q$28,16,FALSE))</f>
      </c>
      <c r="P11" s="13"/>
      <c r="Q11" s="5"/>
    </row>
    <row r="12" spans="1:17" ht="13.5" hidden="1" thickBot="1">
      <c r="A12" s="20">
        <f>IF(ISERROR(SMALL($W$17:$W$28,5))=TRUE,"",SMALL($W$17:$W$28,5))</f>
        <v>6.007</v>
      </c>
      <c r="B12" s="261" t="str">
        <f>IF(A12="","",VLOOKUP($A12,$W$17:$AD$28,5,FALSE))</f>
        <v>呉安　真耶子</v>
      </c>
      <c r="C12" s="262"/>
      <c r="D12" s="263" t="str">
        <f>IF(A12="","",VLOOKUP($B12,$AA$17:$AB$28,2,FALSE))</f>
        <v>慶應義塾大学</v>
      </c>
      <c r="E12" s="263"/>
      <c r="F12" s="15">
        <f>IF(A12="","",VLOOKUP($B12,$AA$17:$AD$28,3,FALSE))</f>
        <v>1</v>
      </c>
      <c r="G12" s="16">
        <f>IF(A12="","",VLOOKUP($B12,$AA$17:$AD$28,4,FALSE))</f>
        <v>48.91499999999999</v>
      </c>
      <c r="H12" s="13"/>
      <c r="I12" s="13"/>
      <c r="J12" s="14">
        <f>IF(ISERROR(SMALL($X$17:$X$28,5))=TRUE,"",SMALL($X$17:$X$28,5))</f>
      </c>
      <c r="K12" s="257">
        <f>IF(J12="","",VLOOKUP($J12,$X$18:$AB$28,5,FALSE))</f>
      </c>
      <c r="L12" s="258"/>
      <c r="M12" s="259"/>
      <c r="N12" s="19">
        <f>IF(K12="","",VLOOKUP($K12,$B$18:$Q$28,15,FALSE))</f>
      </c>
      <c r="O12" s="38">
        <f>IF(K12="","",VLOOKUP($K12,$B$18:$Q$28,16,FALSE))</f>
      </c>
      <c r="P12" s="13"/>
      <c r="Q12" s="5"/>
    </row>
    <row r="13" spans="1:23" ht="13.5" hidden="1" thickBot="1">
      <c r="A13" s="20">
        <f>IF(ISERROR(SMALL($W$17:$W$28,6))=TRUE,"",SMALL($W$17:$W$28,6))</f>
        <v>7.005</v>
      </c>
      <c r="B13" s="261" t="str">
        <f>IF(A13="","",VLOOKUP($A13,$W$17:$AD$28,5,FALSE))</f>
        <v>真殿　妃華李</v>
      </c>
      <c r="C13" s="262"/>
      <c r="D13" s="263" t="str">
        <f>IF(A13="","",VLOOKUP($B13,$AA$17:$AB$28,2,FALSE))</f>
        <v>東京農業大学</v>
      </c>
      <c r="E13" s="263"/>
      <c r="F13" s="17">
        <f>IF(A13="","",VLOOKUP($B13,$AA$17:$AD$28,3,FALSE))</f>
        <v>1</v>
      </c>
      <c r="G13" s="18">
        <f>IF(A13="","",VLOOKUP($B13,$AA$17:$AD$28,4,FALSE))</f>
        <v>52.23400000000001</v>
      </c>
      <c r="H13" s="13"/>
      <c r="I13" s="13"/>
      <c r="J13" s="20">
        <f>IF(ISERROR(SMALL($X$17:$X$28,6))=TRUE,"",SMALL($X$17:$X$28,6))</f>
      </c>
      <c r="K13" s="257">
        <f>IF(J13="","",VLOOKUP($J13,$X$18:$AB$28,5,FALSE))</f>
      </c>
      <c r="L13" s="258"/>
      <c r="M13" s="259"/>
      <c r="N13" s="21">
        <f>IF(K13="","",VLOOKUP($K13,$B$18:$Q$28,15,FALSE))</f>
      </c>
      <c r="O13" s="38">
        <f>IF(K13="","",VLOOKUP($K13,$B$18:$Q$28,16,FALSE))</f>
      </c>
      <c r="P13" s="13"/>
      <c r="Q13" s="5"/>
      <c r="W13" s="39" t="s">
        <v>20</v>
      </c>
    </row>
    <row r="14" spans="1:17" ht="13.5" thickBot="1">
      <c r="A14" s="188"/>
      <c r="B14" s="188"/>
      <c r="C14" s="188"/>
      <c r="D14" s="188"/>
      <c r="E14" s="188"/>
      <c r="F14" s="188"/>
      <c r="G14" s="188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30" ht="12.75">
      <c r="A15" s="189" t="s">
        <v>0</v>
      </c>
      <c r="B15" s="190" t="s">
        <v>14</v>
      </c>
      <c r="C15" s="189" t="s">
        <v>1</v>
      </c>
      <c r="D15" s="190" t="s">
        <v>13</v>
      </c>
      <c r="E15" s="189" t="s">
        <v>2</v>
      </c>
      <c r="F15" s="260" t="s">
        <v>25</v>
      </c>
      <c r="G15" s="260"/>
      <c r="H15" s="260"/>
      <c r="I15" s="189" t="s">
        <v>6</v>
      </c>
      <c r="J15" s="260" t="s">
        <v>23</v>
      </c>
      <c r="K15" s="260"/>
      <c r="L15" s="260"/>
      <c r="M15" s="190" t="s">
        <v>15</v>
      </c>
      <c r="N15" s="271" t="s">
        <v>15</v>
      </c>
      <c r="O15" s="272"/>
      <c r="P15" s="271" t="s">
        <v>16</v>
      </c>
      <c r="Q15" s="272"/>
      <c r="R15" s="11"/>
      <c r="S15" s="11"/>
      <c r="T15" s="11"/>
      <c r="Y15" s="40" t="s">
        <v>11</v>
      </c>
      <c r="Z15" s="40" t="s">
        <v>1</v>
      </c>
      <c r="AA15" s="23" t="s">
        <v>13</v>
      </c>
      <c r="AB15" s="23" t="s">
        <v>14</v>
      </c>
      <c r="AC15" s="269" t="s">
        <v>15</v>
      </c>
      <c r="AD15" s="270"/>
    </row>
    <row r="16" spans="1:30" ht="13.5" thickBot="1">
      <c r="A16" s="189"/>
      <c r="B16" s="189"/>
      <c r="C16" s="189" t="s">
        <v>8</v>
      </c>
      <c r="D16" s="189"/>
      <c r="E16" s="189" t="s">
        <v>8</v>
      </c>
      <c r="F16" s="189" t="s">
        <v>3</v>
      </c>
      <c r="G16" s="189" t="s">
        <v>4</v>
      </c>
      <c r="H16" s="189" t="s">
        <v>5</v>
      </c>
      <c r="I16" s="189" t="s">
        <v>7</v>
      </c>
      <c r="J16" s="189" t="s">
        <v>3</v>
      </c>
      <c r="K16" s="189" t="s">
        <v>9</v>
      </c>
      <c r="L16" s="189" t="s">
        <v>5</v>
      </c>
      <c r="M16" s="189" t="s">
        <v>7</v>
      </c>
      <c r="N16" s="271" t="s">
        <v>12</v>
      </c>
      <c r="O16" s="271"/>
      <c r="P16" s="272" t="s">
        <v>10</v>
      </c>
      <c r="Q16" s="272"/>
      <c r="R16" s="11"/>
      <c r="S16" s="11"/>
      <c r="T16" s="11"/>
      <c r="Y16" s="26" t="s">
        <v>8</v>
      </c>
      <c r="Z16" s="26" t="s">
        <v>8</v>
      </c>
      <c r="AA16" s="26"/>
      <c r="AB16" s="26"/>
      <c r="AC16" s="273" t="s">
        <v>12</v>
      </c>
      <c r="AD16" s="274"/>
    </row>
    <row r="17" spans="1:30" ht="13.5" thickBot="1">
      <c r="A17" s="252">
        <v>22</v>
      </c>
      <c r="B17" s="191" t="s">
        <v>52</v>
      </c>
      <c r="C17" s="264">
        <f>IF($V18="","",RANK($V18,$V$17:$V$28,1))</f>
        <v>1</v>
      </c>
      <c r="D17" s="192" t="s">
        <v>58</v>
      </c>
      <c r="E17" s="193">
        <f aca="true" t="shared" si="0" ref="E17:E30">IF($U17="","",RANK($U17,$U$17:$U$35,1))</f>
        <v>3</v>
      </c>
      <c r="F17" s="194">
        <v>1</v>
      </c>
      <c r="G17" s="194">
        <v>44.203</v>
      </c>
      <c r="H17" s="194"/>
      <c r="I17" s="194"/>
      <c r="J17" s="195">
        <v>1</v>
      </c>
      <c r="K17" s="196">
        <v>37.862</v>
      </c>
      <c r="L17" s="196"/>
      <c r="M17" s="169"/>
      <c r="N17" s="193">
        <f aca="true" t="shared" si="1" ref="N17:N28">IF(U17="","",TRUNC(U17/60))</f>
        <v>1</v>
      </c>
      <c r="O17" s="193">
        <f aca="true" t="shared" si="2" ref="O17:O30">IF(T17="","",T17-N17*60)</f>
        <v>37.861999999999995</v>
      </c>
      <c r="P17" s="252">
        <f>IF(COUNT($O17:$O18)=2,INT((SUM($N17:$N18)*60+SUM($O17:$O18))/60),"")</f>
        <v>3</v>
      </c>
      <c r="Q17" s="252">
        <f>IF(COUNT($O17:$O18)=2,((SUM($N17:$N18)*60+SUM($O17:$O18)))-$P17*60,"")</f>
        <v>20.514999999999986</v>
      </c>
      <c r="R17" s="11">
        <f aca="true" t="shared" si="3" ref="R17:R30">IF($G17="","",$F17*60+$G17+$H17*5+$I17)</f>
        <v>104.203</v>
      </c>
      <c r="S17" s="11">
        <f aca="true" t="shared" si="4" ref="S17:S30">IF($K17="","",$J17*60+$K17+$L17*5+$M17)</f>
        <v>97.862</v>
      </c>
      <c r="T17" s="2">
        <f aca="true" t="shared" si="5" ref="T17:T30">IF($S17="",$R17,IF($R17&lt;$S17,$R17,$S17))</f>
        <v>97.862</v>
      </c>
      <c r="U17" s="2">
        <f aca="true" t="shared" si="6" ref="U17:U30">IF($S17="",$R17,IF($R17&lt;$S17,$R17+0.001,$S17))</f>
        <v>97.862</v>
      </c>
      <c r="V17" s="6"/>
      <c r="W17" s="22">
        <f aca="true" t="shared" si="7" ref="W17:W28">IF($E17="","",$E17+(ROW(E17)-16)*0.001)</f>
        <v>3.001</v>
      </c>
      <c r="X17" s="22"/>
      <c r="Y17" s="22">
        <f aca="true" t="shared" si="8" ref="Y17:Y30">$E17</f>
        <v>3</v>
      </c>
      <c r="Z17" s="22"/>
      <c r="AA17" s="22" t="str">
        <f>IF($D17="","",$D17)</f>
        <v>金山　桃子</v>
      </c>
      <c r="AB17" s="23" t="str">
        <f>B17</f>
        <v>立教大学</v>
      </c>
      <c r="AC17" s="22">
        <f aca="true" t="shared" si="9" ref="AC17:AC30">$N17</f>
        <v>1</v>
      </c>
      <c r="AD17" s="24">
        <f aca="true" t="shared" si="10" ref="AD17:AD30">$O17</f>
        <v>37.861999999999995</v>
      </c>
    </row>
    <row r="18" spans="1:30" ht="13.5" thickBot="1">
      <c r="A18" s="252"/>
      <c r="B18" s="191" t="s">
        <v>52</v>
      </c>
      <c r="C18" s="264"/>
      <c r="D18" s="192" t="s">
        <v>59</v>
      </c>
      <c r="E18" s="193">
        <f t="shared" si="0"/>
        <v>5</v>
      </c>
      <c r="F18" s="195">
        <v>1</v>
      </c>
      <c r="G18" s="196">
        <v>59.222</v>
      </c>
      <c r="H18" s="196"/>
      <c r="I18" s="196"/>
      <c r="J18" s="196">
        <v>1</v>
      </c>
      <c r="K18" s="196">
        <v>42.653</v>
      </c>
      <c r="L18" s="196"/>
      <c r="M18" s="196"/>
      <c r="N18" s="193">
        <f t="shared" si="1"/>
        <v>1</v>
      </c>
      <c r="O18" s="193">
        <f t="shared" si="2"/>
        <v>42.65299999999999</v>
      </c>
      <c r="P18" s="252"/>
      <c r="Q18" s="252"/>
      <c r="R18" s="11">
        <f t="shared" si="3"/>
        <v>119.22200000000001</v>
      </c>
      <c r="S18" s="11">
        <f t="shared" si="4"/>
        <v>102.65299999999999</v>
      </c>
      <c r="T18" s="2">
        <f t="shared" si="5"/>
        <v>102.65299999999999</v>
      </c>
      <c r="U18" s="2">
        <f t="shared" si="6"/>
        <v>102.65299999999999</v>
      </c>
      <c r="V18" s="6">
        <f>IF($Q17="","",$P17*60+$Q17)</f>
        <v>200.515</v>
      </c>
      <c r="W18" s="22">
        <f t="shared" si="7"/>
        <v>5.002</v>
      </c>
      <c r="X18" s="11">
        <f>IF($C17="","",$C17+(ROW(C17)-17)*0.001)</f>
        <v>1</v>
      </c>
      <c r="Y18" s="22">
        <f t="shared" si="8"/>
        <v>5</v>
      </c>
      <c r="Z18" s="28">
        <f>$C17</f>
        <v>1</v>
      </c>
      <c r="AA18" s="25" t="str">
        <f>IF($D18="","",$D18)</f>
        <v>田中　杏奈</v>
      </c>
      <c r="AB18" s="23" t="str">
        <f aca="true" t="shared" si="11" ref="AB18:AB30">B18</f>
        <v>立教大学</v>
      </c>
      <c r="AC18" s="22">
        <f t="shared" si="9"/>
        <v>1</v>
      </c>
      <c r="AD18" s="24">
        <f t="shared" si="10"/>
        <v>42.65299999999999</v>
      </c>
    </row>
    <row r="19" spans="1:33" s="178" customFormat="1" ht="13.5" thickBot="1">
      <c r="A19" s="253">
        <v>23</v>
      </c>
      <c r="B19" s="197" t="s">
        <v>53</v>
      </c>
      <c r="C19" s="256">
        <f>IF($V20="","",RANK($V20,$V$17:$V$28,1))</f>
        <v>2</v>
      </c>
      <c r="D19" s="198" t="s">
        <v>60</v>
      </c>
      <c r="E19" s="199">
        <f t="shared" si="0"/>
        <v>4</v>
      </c>
      <c r="F19" s="199">
        <v>1</v>
      </c>
      <c r="G19" s="200">
        <v>46.964</v>
      </c>
      <c r="H19" s="200"/>
      <c r="I19" s="200"/>
      <c r="J19" s="200">
        <v>1</v>
      </c>
      <c r="K19" s="200">
        <v>39.013</v>
      </c>
      <c r="L19" s="200"/>
      <c r="M19" s="200"/>
      <c r="N19" s="199">
        <f t="shared" si="1"/>
        <v>1</v>
      </c>
      <c r="O19" s="199">
        <f>IF(T19="","",T19-N19*60)</f>
        <v>39.013000000000005</v>
      </c>
      <c r="P19" s="253">
        <f>IF(COUNT($O19:$O20)=2,INT((SUM($N19:$N20)*60+SUM($O19:$O20))/60),"")</f>
        <v>3</v>
      </c>
      <c r="Q19" s="253">
        <f>IF(COUNT($O19:$O20)=2,((SUM($N19:$N20)*60+SUM($O19:$O20)))-$P19*60,"")</f>
        <v>51.191</v>
      </c>
      <c r="R19" s="172">
        <f t="shared" si="3"/>
        <v>106.964</v>
      </c>
      <c r="S19" s="172">
        <f t="shared" si="4"/>
        <v>99.013</v>
      </c>
      <c r="T19" s="173">
        <f t="shared" si="5"/>
        <v>99.013</v>
      </c>
      <c r="U19" s="173">
        <f t="shared" si="6"/>
        <v>99.013</v>
      </c>
      <c r="V19" s="174"/>
      <c r="W19" s="175">
        <f t="shared" si="7"/>
        <v>4.003</v>
      </c>
      <c r="X19" s="172"/>
      <c r="Y19" s="175">
        <f t="shared" si="8"/>
        <v>4</v>
      </c>
      <c r="Z19" s="175"/>
      <c r="AA19" s="171" t="str">
        <f aca="true" t="shared" si="12" ref="AA19:AA30">IF($D19="","",$D19)</f>
        <v>大山　晶子</v>
      </c>
      <c r="AB19" s="176" t="str">
        <f t="shared" si="11"/>
        <v>聖心女子大学</v>
      </c>
      <c r="AC19" s="175">
        <f t="shared" si="9"/>
        <v>1</v>
      </c>
      <c r="AD19" s="177">
        <f t="shared" si="10"/>
        <v>39.013000000000005</v>
      </c>
      <c r="AE19" s="173"/>
      <c r="AF19" s="173"/>
      <c r="AG19" s="173"/>
    </row>
    <row r="20" spans="1:33" s="178" customFormat="1" ht="13.5" thickBot="1">
      <c r="A20" s="253"/>
      <c r="B20" s="197" t="s">
        <v>53</v>
      </c>
      <c r="C20" s="256"/>
      <c r="D20" s="198" t="s">
        <v>61</v>
      </c>
      <c r="E20" s="199">
        <f t="shared" si="0"/>
        <v>8</v>
      </c>
      <c r="F20" s="199">
        <v>2</v>
      </c>
      <c r="G20" s="200">
        <v>12.178</v>
      </c>
      <c r="H20" s="200"/>
      <c r="I20" s="200"/>
      <c r="J20" s="200"/>
      <c r="K20" s="200"/>
      <c r="L20" s="200"/>
      <c r="M20" s="200" t="s">
        <v>99</v>
      </c>
      <c r="N20" s="199">
        <f t="shared" si="1"/>
        <v>2</v>
      </c>
      <c r="O20" s="199">
        <f t="shared" si="2"/>
        <v>12.177999999999997</v>
      </c>
      <c r="P20" s="253"/>
      <c r="Q20" s="253"/>
      <c r="R20" s="172">
        <f t="shared" si="3"/>
        <v>132.178</v>
      </c>
      <c r="S20" s="172">
        <f t="shared" si="4"/>
      </c>
      <c r="T20" s="173">
        <f t="shared" si="5"/>
        <v>132.178</v>
      </c>
      <c r="U20" s="173">
        <f t="shared" si="6"/>
        <v>132.178</v>
      </c>
      <c r="V20" s="174">
        <f>IF($Q19="","",$P19*60+$Q19)</f>
        <v>231.191</v>
      </c>
      <c r="W20" s="175">
        <f t="shared" si="7"/>
        <v>8.004</v>
      </c>
      <c r="X20" s="172">
        <f>IF($C19="","",$C19+(ROW(C19)-17)*0.001)</f>
        <v>2.002</v>
      </c>
      <c r="Y20" s="175">
        <f t="shared" si="8"/>
        <v>8</v>
      </c>
      <c r="Z20" s="179">
        <f>$C19</f>
        <v>2</v>
      </c>
      <c r="AA20" s="171" t="str">
        <f>IF($D20="","",$D20)</f>
        <v>岡　莉沙子</v>
      </c>
      <c r="AB20" s="176" t="str">
        <f t="shared" si="11"/>
        <v>聖心女子大学</v>
      </c>
      <c r="AC20" s="175">
        <f t="shared" si="9"/>
        <v>2</v>
      </c>
      <c r="AD20" s="177">
        <f t="shared" si="10"/>
        <v>12.177999999999997</v>
      </c>
      <c r="AE20" s="173"/>
      <c r="AF20" s="173"/>
      <c r="AG20" s="173"/>
    </row>
    <row r="21" spans="1:30" ht="13.5" thickBot="1">
      <c r="A21" s="252">
        <v>24</v>
      </c>
      <c r="B21" s="201" t="s">
        <v>54</v>
      </c>
      <c r="C21" s="264">
        <f>IF($V22="","",RANK($V22,$V$17:$V$28,1))</f>
      </c>
      <c r="D21" s="202" t="s">
        <v>62</v>
      </c>
      <c r="E21" s="193">
        <f t="shared" si="0"/>
        <v>7</v>
      </c>
      <c r="F21" s="195">
        <v>1</v>
      </c>
      <c r="G21" s="169">
        <v>54.912</v>
      </c>
      <c r="H21" s="196"/>
      <c r="I21" s="196"/>
      <c r="J21" s="196">
        <v>1</v>
      </c>
      <c r="K21" s="196">
        <v>52.234</v>
      </c>
      <c r="L21" s="196"/>
      <c r="M21" s="196"/>
      <c r="N21" s="193">
        <f t="shared" si="1"/>
        <v>1</v>
      </c>
      <c r="O21" s="193">
        <f t="shared" si="2"/>
        <v>52.23400000000001</v>
      </c>
      <c r="P21" s="252">
        <f>IF(COUNT($O21:$O22)=2,INT((SUM($N21:$N22)*60+SUM($O21:$O22))/60),"")</f>
      </c>
      <c r="Q21" s="252">
        <f>IF(COUNT($O21:$O22)=2,((SUM($N21:$N22)*60+SUM($O21:$O22)))-$P21*60,"")</f>
      </c>
      <c r="R21" s="11">
        <f t="shared" si="3"/>
        <v>114.912</v>
      </c>
      <c r="S21" s="11">
        <f t="shared" si="4"/>
        <v>112.23400000000001</v>
      </c>
      <c r="T21" s="2">
        <f t="shared" si="5"/>
        <v>112.23400000000001</v>
      </c>
      <c r="U21" s="2">
        <f t="shared" si="6"/>
        <v>112.23400000000001</v>
      </c>
      <c r="V21" s="6"/>
      <c r="W21" s="22">
        <f t="shared" si="7"/>
        <v>7.005</v>
      </c>
      <c r="X21" s="22"/>
      <c r="Y21" s="22">
        <f t="shared" si="8"/>
        <v>7</v>
      </c>
      <c r="Z21" s="22"/>
      <c r="AA21" s="22" t="str">
        <f>IF($D21="","",$D21)</f>
        <v>真殿　妃華李</v>
      </c>
      <c r="AB21" s="23" t="str">
        <f t="shared" si="11"/>
        <v>東京農業大学</v>
      </c>
      <c r="AC21" s="22">
        <f t="shared" si="9"/>
        <v>1</v>
      </c>
      <c r="AD21" s="24">
        <f t="shared" si="10"/>
        <v>52.23400000000001</v>
      </c>
    </row>
    <row r="22" spans="1:30" ht="13.5" thickBot="1">
      <c r="A22" s="252"/>
      <c r="B22" s="201" t="s">
        <v>54</v>
      </c>
      <c r="C22" s="264"/>
      <c r="D22" s="202"/>
      <c r="E22" s="193">
        <f t="shared" si="0"/>
      </c>
      <c r="F22" s="195"/>
      <c r="G22" s="196"/>
      <c r="H22" s="196"/>
      <c r="I22" s="196"/>
      <c r="J22" s="196"/>
      <c r="K22" s="196"/>
      <c r="L22" s="196"/>
      <c r="M22" s="196"/>
      <c r="N22" s="193">
        <f t="shared" si="1"/>
      </c>
      <c r="O22" s="193">
        <f t="shared" si="2"/>
      </c>
      <c r="P22" s="252"/>
      <c r="Q22" s="252"/>
      <c r="R22" s="11">
        <f t="shared" si="3"/>
      </c>
      <c r="S22" s="11">
        <f t="shared" si="4"/>
      </c>
      <c r="T22" s="2">
        <f t="shared" si="5"/>
      </c>
      <c r="U22" s="2">
        <f t="shared" si="6"/>
      </c>
      <c r="V22" s="6">
        <f>IF($Q21="","",$P21*60+$Q21)</f>
      </c>
      <c r="W22" s="22">
        <f t="shared" si="7"/>
      </c>
      <c r="X22" s="11">
        <f>IF($C21="","",$C21+(ROW(C21)-17)*0.001)</f>
      </c>
      <c r="Y22" s="22">
        <f t="shared" si="8"/>
      </c>
      <c r="Z22" s="25">
        <f>$C21</f>
      </c>
      <c r="AA22" s="25">
        <f t="shared" si="12"/>
      </c>
      <c r="AB22" s="23" t="str">
        <f t="shared" si="11"/>
        <v>東京農業大学</v>
      </c>
      <c r="AC22" s="22">
        <f t="shared" si="9"/>
      </c>
      <c r="AD22" s="24">
        <f t="shared" si="10"/>
      </c>
    </row>
    <row r="23" spans="1:30" ht="13.5" thickBot="1">
      <c r="A23" s="252">
        <v>25</v>
      </c>
      <c r="B23" s="201" t="s">
        <v>55</v>
      </c>
      <c r="C23" s="264">
        <f>IF($V24="","",RANK($V24,$V$17:$V$28,1))</f>
      </c>
      <c r="D23" s="202" t="s">
        <v>63</v>
      </c>
      <c r="E23" s="193">
        <f t="shared" si="0"/>
        <v>6</v>
      </c>
      <c r="F23" s="195"/>
      <c r="G23" s="169"/>
      <c r="H23" s="196"/>
      <c r="I23" s="196"/>
      <c r="J23" s="196">
        <v>1</v>
      </c>
      <c r="K23" s="196">
        <v>48.915</v>
      </c>
      <c r="L23" s="196"/>
      <c r="M23" s="196"/>
      <c r="N23" s="193">
        <f t="shared" si="1"/>
        <v>1</v>
      </c>
      <c r="O23" s="193">
        <f t="shared" si="2"/>
        <v>48.91499999999999</v>
      </c>
      <c r="P23" s="252">
        <f>IF(COUNT($O23:$O24)=2,INT((SUM($N23:$N24)*60+SUM($O23:$O24))/60),"")</f>
      </c>
      <c r="Q23" s="252">
        <f>IF(COUNT($O23:$O24)=2,((SUM($N23:$N24)*60+SUM($O23:$O24)))-$P23*60,"")</f>
      </c>
      <c r="R23" s="11">
        <f t="shared" si="3"/>
      </c>
      <c r="S23" s="11">
        <f t="shared" si="4"/>
        <v>108.91499999999999</v>
      </c>
      <c r="T23" s="2">
        <f t="shared" si="5"/>
        <v>108.91499999999999</v>
      </c>
      <c r="U23" s="2">
        <f t="shared" si="6"/>
        <v>108.91499999999999</v>
      </c>
      <c r="V23" s="6"/>
      <c r="W23" s="22">
        <f t="shared" si="7"/>
        <v>6.007</v>
      </c>
      <c r="X23" s="22"/>
      <c r="Y23" s="22">
        <f t="shared" si="8"/>
        <v>6</v>
      </c>
      <c r="Z23" s="22"/>
      <c r="AA23" s="28" t="str">
        <f t="shared" si="12"/>
        <v>呉安　真耶子</v>
      </c>
      <c r="AB23" s="23" t="str">
        <f t="shared" si="11"/>
        <v>慶應義塾大学</v>
      </c>
      <c r="AC23" s="22">
        <f t="shared" si="9"/>
        <v>1</v>
      </c>
      <c r="AD23" s="24">
        <f t="shared" si="10"/>
        <v>48.91499999999999</v>
      </c>
    </row>
    <row r="24" spans="1:30" ht="13.5" thickBot="1">
      <c r="A24" s="252"/>
      <c r="B24" s="201" t="s">
        <v>55</v>
      </c>
      <c r="C24" s="264"/>
      <c r="D24" s="203"/>
      <c r="E24" s="193">
        <f t="shared" si="0"/>
      </c>
      <c r="F24" s="195"/>
      <c r="G24" s="196"/>
      <c r="H24" s="196"/>
      <c r="I24" s="196"/>
      <c r="J24" s="196"/>
      <c r="K24" s="196"/>
      <c r="L24" s="196"/>
      <c r="M24" s="196"/>
      <c r="N24" s="193">
        <f t="shared" si="1"/>
      </c>
      <c r="O24" s="193">
        <f t="shared" si="2"/>
      </c>
      <c r="P24" s="252"/>
      <c r="Q24" s="252"/>
      <c r="R24" s="11">
        <f t="shared" si="3"/>
      </c>
      <c r="S24" s="11">
        <f t="shared" si="4"/>
      </c>
      <c r="T24" s="2">
        <f t="shared" si="5"/>
      </c>
      <c r="U24" s="2">
        <f t="shared" si="6"/>
      </c>
      <c r="V24" s="6">
        <f>IF($Q23="","",$P23*60+$Q23)</f>
      </c>
      <c r="W24" s="22">
        <f t="shared" si="7"/>
      </c>
      <c r="X24" s="11">
        <f>IF($C23="","",$C23+(ROW(C23)-17)*0.001)</f>
      </c>
      <c r="Y24" s="22">
        <f t="shared" si="8"/>
      </c>
      <c r="Z24" s="28">
        <f>$C23</f>
      </c>
      <c r="AA24" s="28">
        <f t="shared" si="12"/>
      </c>
      <c r="AB24" s="23" t="str">
        <f t="shared" si="11"/>
        <v>慶應義塾大学</v>
      </c>
      <c r="AC24" s="22">
        <f t="shared" si="9"/>
      </c>
      <c r="AD24" s="24">
        <f t="shared" si="10"/>
      </c>
    </row>
    <row r="25" spans="1:33" s="178" customFormat="1" ht="13.5" thickBot="1">
      <c r="A25" s="253">
        <v>26</v>
      </c>
      <c r="B25" s="204" t="s">
        <v>56</v>
      </c>
      <c r="C25" s="256">
        <f>IF($V26="","",RANK($V26,$V$17:$V$28,1))</f>
      </c>
      <c r="D25" s="205" t="s">
        <v>64</v>
      </c>
      <c r="E25" s="199">
        <f t="shared" si="0"/>
      </c>
      <c r="F25" s="200"/>
      <c r="G25" s="200"/>
      <c r="H25" s="200"/>
      <c r="I25" s="200" t="s">
        <v>100</v>
      </c>
      <c r="J25" s="200"/>
      <c r="K25" s="200"/>
      <c r="L25" s="200"/>
      <c r="M25" s="200" t="s">
        <v>100</v>
      </c>
      <c r="N25" s="199">
        <f t="shared" si="1"/>
      </c>
      <c r="O25" s="199">
        <f t="shared" si="2"/>
      </c>
      <c r="P25" s="253">
        <f>IF(COUNT($O25:$O26)=2,INT((SUM($N25:$N26)*60+SUM($O25:$O26))/60),"")</f>
      </c>
      <c r="Q25" s="253">
        <f>IF(COUNT($O25:$O26)=2,((SUM($N25:$N26)*60+SUM($O25:$O26)))-$P25*60,"")</f>
      </c>
      <c r="R25" s="186">
        <f t="shared" si="3"/>
      </c>
      <c r="S25" s="180">
        <f t="shared" si="4"/>
      </c>
      <c r="T25" s="181">
        <f t="shared" si="5"/>
      </c>
      <c r="U25" s="181">
        <f t="shared" si="6"/>
      </c>
      <c r="V25" s="180"/>
      <c r="W25" s="180">
        <f t="shared" si="7"/>
      </c>
      <c r="X25" s="180"/>
      <c r="Y25" s="180">
        <f t="shared" si="8"/>
      </c>
      <c r="Z25" s="180"/>
      <c r="AA25" s="180" t="str">
        <f>IF($D25="","",$D25)</f>
        <v>海谷　美里</v>
      </c>
      <c r="AB25" s="176" t="str">
        <f t="shared" si="11"/>
        <v>千葉工業大学</v>
      </c>
      <c r="AC25" s="180">
        <f t="shared" si="9"/>
      </c>
      <c r="AD25" s="182">
        <f t="shared" si="10"/>
      </c>
      <c r="AE25" s="173"/>
      <c r="AF25" s="173"/>
      <c r="AG25" s="173"/>
    </row>
    <row r="26" spans="1:33" s="178" customFormat="1" ht="13.5" thickBot="1">
      <c r="A26" s="253"/>
      <c r="B26" s="204" t="s">
        <v>56</v>
      </c>
      <c r="C26" s="256"/>
      <c r="D26" s="205"/>
      <c r="E26" s="199">
        <f t="shared" si="0"/>
      </c>
      <c r="F26" s="200"/>
      <c r="G26" s="200"/>
      <c r="H26" s="200"/>
      <c r="I26" s="200" t="s">
        <v>100</v>
      </c>
      <c r="J26" s="200"/>
      <c r="K26" s="200"/>
      <c r="L26" s="200"/>
      <c r="M26" s="200" t="s">
        <v>100</v>
      </c>
      <c r="N26" s="199">
        <f t="shared" si="1"/>
      </c>
      <c r="O26" s="199">
        <f t="shared" si="2"/>
      </c>
      <c r="P26" s="253"/>
      <c r="Q26" s="253"/>
      <c r="R26" s="187">
        <f t="shared" si="3"/>
      </c>
      <c r="S26" s="183">
        <f t="shared" si="4"/>
      </c>
      <c r="T26" s="184">
        <f t="shared" si="5"/>
      </c>
      <c r="U26" s="184">
        <f t="shared" si="6"/>
      </c>
      <c r="V26" s="183">
        <f>IF($Q25="","",$P25*60+$Q25)</f>
      </c>
      <c r="W26" s="183">
        <f t="shared" si="7"/>
      </c>
      <c r="X26" s="183">
        <f>IF($C25="","",$C25+(ROW(C25)-17)*0.001)</f>
      </c>
      <c r="Y26" s="183">
        <f t="shared" si="8"/>
      </c>
      <c r="Z26" s="183">
        <f>$C25</f>
      </c>
      <c r="AA26" s="183">
        <f>IF($D26="","",$D26)</f>
      </c>
      <c r="AB26" s="176" t="str">
        <f t="shared" si="11"/>
        <v>千葉工業大学</v>
      </c>
      <c r="AC26" s="183">
        <f t="shared" si="9"/>
      </c>
      <c r="AD26" s="185">
        <f t="shared" si="10"/>
      </c>
      <c r="AE26" s="173"/>
      <c r="AF26" s="173"/>
      <c r="AG26" s="173"/>
    </row>
    <row r="27" spans="1:30" ht="13.5" thickBot="1">
      <c r="A27" s="252">
        <v>27</v>
      </c>
      <c r="B27" s="201" t="s">
        <v>57</v>
      </c>
      <c r="C27" s="264">
        <f>IF($V28="","",RANK($V28,$V$17:$V$28,1))</f>
      </c>
      <c r="D27" s="203" t="s">
        <v>65</v>
      </c>
      <c r="E27" s="193">
        <f t="shared" si="0"/>
        <v>2</v>
      </c>
      <c r="F27" s="195">
        <v>1</v>
      </c>
      <c r="G27" s="195">
        <v>52.84</v>
      </c>
      <c r="H27" s="169"/>
      <c r="I27" s="169"/>
      <c r="J27" s="169">
        <v>1</v>
      </c>
      <c r="K27" s="169">
        <v>31.491</v>
      </c>
      <c r="L27" s="196"/>
      <c r="M27" s="196"/>
      <c r="N27" s="193">
        <f t="shared" si="1"/>
        <v>1</v>
      </c>
      <c r="O27" s="193">
        <f t="shared" si="2"/>
        <v>31.491</v>
      </c>
      <c r="P27" s="252">
        <f>IF(COUNT($O27:$O28)=2,INT((SUM($N27:$N28)*60+SUM($O27:$O28))/60),"")</f>
      </c>
      <c r="Q27" s="252">
        <f>IF(COUNT($O27:$O28)=2,((SUM($N27:$N28)*60+SUM($O27:$O28)))-$P27*60,"")</f>
      </c>
      <c r="R27" s="27">
        <f t="shared" si="3"/>
        <v>112.84</v>
      </c>
      <c r="S27" s="27">
        <f t="shared" si="4"/>
        <v>91.491</v>
      </c>
      <c r="T27" s="41">
        <f t="shared" si="5"/>
        <v>91.491</v>
      </c>
      <c r="U27" s="41">
        <f t="shared" si="6"/>
        <v>91.491</v>
      </c>
      <c r="V27" s="27"/>
      <c r="W27" s="22">
        <f t="shared" si="7"/>
        <v>2.011</v>
      </c>
      <c r="X27" s="22"/>
      <c r="Y27" s="22">
        <f t="shared" si="8"/>
        <v>2</v>
      </c>
      <c r="Z27" s="22"/>
      <c r="AA27" s="22" t="str">
        <f t="shared" si="12"/>
        <v>上村　静香</v>
      </c>
      <c r="AB27" s="23" t="str">
        <f t="shared" si="11"/>
        <v>中央大学</v>
      </c>
      <c r="AC27" s="22">
        <f t="shared" si="9"/>
        <v>1</v>
      </c>
      <c r="AD27" s="22">
        <f t="shared" si="10"/>
        <v>31.491</v>
      </c>
    </row>
    <row r="28" spans="1:30" ht="13.5" customHeight="1" thickBot="1">
      <c r="A28" s="252"/>
      <c r="B28" s="201" t="s">
        <v>57</v>
      </c>
      <c r="C28" s="264"/>
      <c r="D28" s="203"/>
      <c r="E28" s="193">
        <f t="shared" si="0"/>
      </c>
      <c r="F28" s="195"/>
      <c r="G28" s="196"/>
      <c r="H28" s="196"/>
      <c r="I28" s="196"/>
      <c r="J28" s="196"/>
      <c r="K28" s="196"/>
      <c r="L28" s="196"/>
      <c r="M28" s="196"/>
      <c r="N28" s="193">
        <f t="shared" si="1"/>
      </c>
      <c r="O28" s="193">
        <f t="shared" si="2"/>
      </c>
      <c r="P28" s="252"/>
      <c r="Q28" s="252"/>
      <c r="R28" s="29">
        <f t="shared" si="3"/>
      </c>
      <c r="S28" s="29">
        <f t="shared" si="4"/>
      </c>
      <c r="T28" s="30">
        <f t="shared" si="5"/>
      </c>
      <c r="U28" s="30">
        <f t="shared" si="6"/>
      </c>
      <c r="V28" s="29">
        <f>IF($Q27="","",$P27*60+$Q27)</f>
      </c>
      <c r="W28" s="42">
        <f t="shared" si="7"/>
      </c>
      <c r="X28" s="29">
        <f>IF($C27="","",$C27+(ROW(C27)-17)*0.001)</f>
      </c>
      <c r="Y28" s="42">
        <f t="shared" si="8"/>
      </c>
      <c r="Z28" s="25">
        <f>$C27</f>
      </c>
      <c r="AA28" s="25">
        <f t="shared" si="12"/>
      </c>
      <c r="AB28" s="23" t="str">
        <f t="shared" si="11"/>
        <v>中央大学</v>
      </c>
      <c r="AC28" s="42">
        <f t="shared" si="9"/>
      </c>
      <c r="AD28" s="42">
        <f t="shared" si="10"/>
      </c>
    </row>
    <row r="29" spans="1:30" ht="13.5" thickBot="1">
      <c r="A29" s="252">
        <v>28</v>
      </c>
      <c r="B29" s="201" t="s">
        <v>66</v>
      </c>
      <c r="C29" s="264">
        <f>IF($V30="","",RANK($V30,$V$17:$V$28,1))</f>
      </c>
      <c r="D29" s="203" t="s">
        <v>67</v>
      </c>
      <c r="E29" s="193">
        <f t="shared" si="0"/>
        <v>1</v>
      </c>
      <c r="F29" s="195">
        <v>1</v>
      </c>
      <c r="G29" s="169">
        <v>27.493</v>
      </c>
      <c r="H29" s="169"/>
      <c r="I29" s="169"/>
      <c r="J29" s="169">
        <v>1</v>
      </c>
      <c r="K29" s="169">
        <v>24.241</v>
      </c>
      <c r="L29" s="196"/>
      <c r="M29" s="196"/>
      <c r="N29" s="193">
        <f>IF(U29="","",TRUNC(U29/60))</f>
        <v>1</v>
      </c>
      <c r="O29" s="193">
        <f t="shared" si="2"/>
        <v>24.241</v>
      </c>
      <c r="P29" s="252">
        <f>IF(COUNT($O29:$O30)=2,INT((SUM($N29:$N30)*60+SUM($O29:$O30))/60),"")</f>
      </c>
      <c r="Q29" s="252">
        <f>IF(COUNT($O29:$O30)=2,((SUM($N29:$N30)*60+SUM($O29:$O30)))-$P29*60,"")</f>
      </c>
      <c r="R29" s="27">
        <f t="shared" si="3"/>
        <v>87.493</v>
      </c>
      <c r="S29" s="27">
        <f t="shared" si="4"/>
        <v>84.241</v>
      </c>
      <c r="T29" s="41">
        <f t="shared" si="5"/>
        <v>84.241</v>
      </c>
      <c r="U29" s="41">
        <f t="shared" si="6"/>
        <v>84.241</v>
      </c>
      <c r="V29" s="27"/>
      <c r="W29" s="22">
        <f>IF($E29="","",$E29+(ROW(E29)-16)*0.001)</f>
        <v>1.013</v>
      </c>
      <c r="X29" s="22"/>
      <c r="Y29" s="22">
        <f t="shared" si="8"/>
        <v>1</v>
      </c>
      <c r="Z29" s="22"/>
      <c r="AA29" s="22" t="str">
        <f t="shared" si="12"/>
        <v>大沼　すず音</v>
      </c>
      <c r="AB29" s="23" t="str">
        <f t="shared" si="11"/>
        <v>早稲田大学</v>
      </c>
      <c r="AC29" s="22">
        <f t="shared" si="9"/>
        <v>1</v>
      </c>
      <c r="AD29" s="22">
        <f t="shared" si="10"/>
        <v>24.241</v>
      </c>
    </row>
    <row r="30" spans="1:30" ht="13.5" customHeight="1" thickBot="1">
      <c r="A30" s="252"/>
      <c r="B30" s="201" t="s">
        <v>66</v>
      </c>
      <c r="C30" s="264"/>
      <c r="D30" s="203"/>
      <c r="E30" s="193">
        <f t="shared" si="0"/>
      </c>
      <c r="F30" s="195"/>
      <c r="G30" s="196"/>
      <c r="H30" s="196"/>
      <c r="I30" s="196"/>
      <c r="J30" s="196"/>
      <c r="K30" s="196"/>
      <c r="L30" s="196"/>
      <c r="M30" s="196"/>
      <c r="N30" s="193">
        <f>IF(U30="","",TRUNC(U30/60))</f>
      </c>
      <c r="O30" s="193">
        <f t="shared" si="2"/>
      </c>
      <c r="P30" s="252"/>
      <c r="Q30" s="252"/>
      <c r="R30" s="29">
        <f t="shared" si="3"/>
      </c>
      <c r="S30" s="29">
        <f t="shared" si="4"/>
      </c>
      <c r="T30" s="30">
        <f t="shared" si="5"/>
      </c>
      <c r="U30" s="30">
        <f t="shared" si="6"/>
      </c>
      <c r="V30" s="29">
        <f>IF($Q29="","",$P29*60+$Q29)</f>
      </c>
      <c r="W30" s="42">
        <f>IF($E30="","",$E30+(ROW(E30)-16)*0.001)</f>
      </c>
      <c r="X30" s="29">
        <f>IF($C29="","",$C29+(ROW(C29)-17)*0.001)</f>
      </c>
      <c r="Y30" s="42">
        <f t="shared" si="8"/>
      </c>
      <c r="Z30" s="25">
        <f>$C29</f>
      </c>
      <c r="AA30" s="25">
        <f t="shared" si="12"/>
      </c>
      <c r="AB30" s="23" t="str">
        <f t="shared" si="11"/>
        <v>早稲田大学</v>
      </c>
      <c r="AC30" s="42">
        <f t="shared" si="9"/>
      </c>
      <c r="AD30" s="42">
        <f t="shared" si="10"/>
      </c>
    </row>
    <row r="31" spans="1:33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22" ht="12.75">
      <c r="B33" s="35" t="s">
        <v>29</v>
      </c>
      <c r="C33" s="249"/>
      <c r="D33" s="249"/>
      <c r="E33" s="36"/>
      <c r="F33" s="31"/>
      <c r="G33" s="34"/>
      <c r="K33" s="6"/>
      <c r="R33" s="11"/>
      <c r="S33" s="11">
        <f>IF($K23="","",$J23*60+$K23+$L23*5+$M23)</f>
        <v>108.91499999999999</v>
      </c>
      <c r="V33" s="6"/>
    </row>
    <row r="34" spans="3:22" ht="12.75">
      <c r="C34" s="12"/>
      <c r="D34" s="12"/>
      <c r="E34" s="31"/>
      <c r="F34" s="31"/>
      <c r="G34" s="34"/>
      <c r="K34" s="6"/>
      <c r="R34" s="11">
        <f>IF($G24="","",$F24*60+$G24+$H24*5+$I24)</f>
      </c>
      <c r="S34" s="11">
        <f>IF($K24="","",$J24*60+$K24+$L24*5+$M24)</f>
      </c>
      <c r="T34" s="2">
        <f>IF($S34="",$R34,IF($R34&lt;$S34,$R34,$S34))</f>
      </c>
      <c r="U34" s="2">
        <f>IF($S34="",$R34,IF($R34&lt;$S34,$R34+0.001,$S34))</f>
      </c>
      <c r="V34" s="6">
        <f>IF($Q23="","",$P23*60+$Q23)</f>
      </c>
    </row>
    <row r="35" spans="2:11" ht="12.75">
      <c r="B35" s="6"/>
      <c r="E35" s="33"/>
      <c r="F35" s="31"/>
      <c r="G35" s="34"/>
      <c r="K35" s="6"/>
    </row>
    <row r="36" spans="2:11" ht="12.75">
      <c r="B36" s="35" t="s">
        <v>30</v>
      </c>
      <c r="C36" s="249"/>
      <c r="D36" s="249"/>
      <c r="E36" s="36"/>
      <c r="F36" s="31"/>
      <c r="G36" s="34"/>
      <c r="K36" s="6"/>
    </row>
    <row r="37" spans="3:11" ht="12.75">
      <c r="C37" s="12"/>
      <c r="D37" s="12"/>
      <c r="E37" s="31"/>
      <c r="F37" s="31"/>
      <c r="G37" s="34"/>
      <c r="K37" s="6"/>
    </row>
    <row r="38" spans="2:11" ht="12.75">
      <c r="B38" s="32"/>
      <c r="E38" s="33"/>
      <c r="F38" s="31"/>
      <c r="G38" s="34"/>
      <c r="K38" s="6"/>
    </row>
    <row r="39" spans="2:11" ht="12.75">
      <c r="B39" s="35" t="s">
        <v>31</v>
      </c>
      <c r="C39" s="249"/>
      <c r="D39" s="249"/>
      <c r="E39" s="36"/>
      <c r="F39" s="31"/>
      <c r="G39" s="34"/>
      <c r="K39" s="6"/>
    </row>
    <row r="40" spans="3:11" ht="12.75">
      <c r="C40" s="32"/>
      <c r="F40" s="33"/>
      <c r="G40" s="34"/>
      <c r="K40" s="6"/>
    </row>
    <row r="41" spans="3:11" ht="12.75">
      <c r="C41" s="32"/>
      <c r="F41" s="33"/>
      <c r="G41" s="34"/>
      <c r="K41" s="6"/>
    </row>
  </sheetData>
  <sheetProtection/>
  <mergeCells count="65">
    <mergeCell ref="Q29:Q30"/>
    <mergeCell ref="P25:P26"/>
    <mergeCell ref="P27:P28"/>
    <mergeCell ref="Q23:Q24"/>
    <mergeCell ref="Q25:Q26"/>
    <mergeCell ref="Q27:Q28"/>
    <mergeCell ref="A29:A30"/>
    <mergeCell ref="P29:P30"/>
    <mergeCell ref="C29:C30"/>
    <mergeCell ref="A27:A28"/>
    <mergeCell ref="P17:P18"/>
    <mergeCell ref="Q17:Q18"/>
    <mergeCell ref="P21:P22"/>
    <mergeCell ref="Q21:Q22"/>
    <mergeCell ref="P23:P24"/>
    <mergeCell ref="P19:P20"/>
    <mergeCell ref="C21:C22"/>
    <mergeCell ref="C23:C24"/>
    <mergeCell ref="Q19:Q20"/>
    <mergeCell ref="AC15:AD15"/>
    <mergeCell ref="N16:O16"/>
    <mergeCell ref="P16:Q16"/>
    <mergeCell ref="AC16:AD16"/>
    <mergeCell ref="P15:Q15"/>
    <mergeCell ref="N15:O15"/>
    <mergeCell ref="C27:C28"/>
    <mergeCell ref="C19:C20"/>
    <mergeCell ref="D10:E10"/>
    <mergeCell ref="B11:C11"/>
    <mergeCell ref="D11:E11"/>
    <mergeCell ref="R2:X2"/>
    <mergeCell ref="B7:C7"/>
    <mergeCell ref="K7:M7"/>
    <mergeCell ref="B8:C8"/>
    <mergeCell ref="D8:E8"/>
    <mergeCell ref="C17:C18"/>
    <mergeCell ref="K11:M11"/>
    <mergeCell ref="D12:E12"/>
    <mergeCell ref="K12:M12"/>
    <mergeCell ref="A1:Q1"/>
    <mergeCell ref="B9:C9"/>
    <mergeCell ref="D9:E9"/>
    <mergeCell ref="K9:M9"/>
    <mergeCell ref="B10:C10"/>
    <mergeCell ref="K8:M8"/>
    <mergeCell ref="A25:A26"/>
    <mergeCell ref="H9:I9"/>
    <mergeCell ref="H10:I10"/>
    <mergeCell ref="C25:C26"/>
    <mergeCell ref="K13:M13"/>
    <mergeCell ref="F15:H15"/>
    <mergeCell ref="J15:L15"/>
    <mergeCell ref="B12:C12"/>
    <mergeCell ref="B13:C13"/>
    <mergeCell ref="D13:E13"/>
    <mergeCell ref="C33:D33"/>
    <mergeCell ref="C36:D36"/>
    <mergeCell ref="C39:D39"/>
    <mergeCell ref="P9:Q9"/>
    <mergeCell ref="P10:Q10"/>
    <mergeCell ref="A17:A18"/>
    <mergeCell ref="A19:A20"/>
    <mergeCell ref="A21:A22"/>
    <mergeCell ref="A23:A24"/>
    <mergeCell ref="K10:M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 Suzuki</dc:creator>
  <cp:keywords/>
  <dc:description/>
  <cp:lastModifiedBy>大塚宙</cp:lastModifiedBy>
  <cp:lastPrinted>2021-06-27T05:14:38Z</cp:lastPrinted>
  <dcterms:created xsi:type="dcterms:W3CDTF">1998-04-05T04:10:39Z</dcterms:created>
  <dcterms:modified xsi:type="dcterms:W3CDTF">2022-03-14T03:09:22Z</dcterms:modified>
  <cp:category/>
  <cp:version/>
  <cp:contentType/>
  <cp:contentStatus/>
</cp:coreProperties>
</file>